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<sst xmlns="http://schemas.openxmlformats.org/spreadsheetml/2006/main" count="652" uniqueCount="189">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</sst>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5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4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89" fillId="41" borderId="10" xfId="0" applyNumberFormat="1" applyFont="1" applyFill="1" applyBorder="1" applyAlignment="1">
      <alignment/>
    </xf>
    <xf numFmtId="182" fontId="89" fillId="41" borderId="10" xfId="0" applyNumberFormat="1" applyFont="1" applyFill="1" applyBorder="1" applyAlignment="1">
      <alignment/>
    </xf>
    <xf numFmtId="0" fontId="88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8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8" fillId="0" borderId="10" xfId="55" applyFont="1" applyFill="1" applyBorder="1" applyAlignment="1" applyProtection="1">
      <alignment horizontal="right" vertical="center" wrapText="1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9" fillId="41" borderId="10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82" fontId="49" fillId="0" borderId="10" xfId="0" applyNumberFormat="1" applyFont="1" applyBorder="1" applyAlignment="1">
      <alignment/>
    </xf>
    <xf numFmtId="182" fontId="49" fillId="0" borderId="10" xfId="0" applyNumberFormat="1" applyFont="1" applyFill="1" applyBorder="1" applyAlignment="1">
      <alignment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4" fillId="44" borderId="10" xfId="0" applyNumberFormat="1" applyFont="1" applyFill="1" applyBorder="1" applyAlignment="1">
      <alignment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</sheetNames>
    <sheetDataSet>
      <sheetData sheetId="21">
        <row r="6">
          <cell r="G6">
            <v>77854.7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59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64" sqref="E1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62" t="s">
        <v>187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186"/>
    </row>
    <row r="2" spans="2:25" s="1" customFormat="1" ht="15.75" customHeight="1">
      <c r="B2" s="363"/>
      <c r="C2" s="363"/>
      <c r="D2" s="363"/>
      <c r="E2" s="363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4"/>
      <c r="B3" s="366"/>
      <c r="C3" s="367" t="s">
        <v>0</v>
      </c>
      <c r="D3" s="368" t="s">
        <v>131</v>
      </c>
      <c r="E3" s="368" t="s">
        <v>179</v>
      </c>
      <c r="F3" s="25"/>
      <c r="G3" s="369" t="s">
        <v>26</v>
      </c>
      <c r="H3" s="370"/>
      <c r="I3" s="370"/>
      <c r="J3" s="370"/>
      <c r="K3" s="37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72" t="s">
        <v>185</v>
      </c>
      <c r="V3" s="373" t="s">
        <v>186</v>
      </c>
      <c r="W3" s="373"/>
      <c r="X3" s="373"/>
      <c r="Y3" s="194"/>
    </row>
    <row r="4" spans="1:24" ht="22.5" customHeight="1">
      <c r="A4" s="364"/>
      <c r="B4" s="366"/>
      <c r="C4" s="367"/>
      <c r="D4" s="368"/>
      <c r="E4" s="368"/>
      <c r="F4" s="356" t="s">
        <v>182</v>
      </c>
      <c r="G4" s="358" t="s">
        <v>31</v>
      </c>
      <c r="H4" s="346" t="s">
        <v>183</v>
      </c>
      <c r="I4" s="360" t="s">
        <v>184</v>
      </c>
      <c r="J4" s="346" t="s">
        <v>132</v>
      </c>
      <c r="K4" s="36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0"/>
      <c r="V4" s="344" t="s">
        <v>188</v>
      </c>
      <c r="W4" s="346" t="s">
        <v>44</v>
      </c>
      <c r="X4" s="348" t="s">
        <v>43</v>
      </c>
    </row>
    <row r="5" spans="1:24" ht="67.5" customHeight="1">
      <c r="A5" s="365"/>
      <c r="B5" s="366"/>
      <c r="C5" s="367"/>
      <c r="D5" s="368"/>
      <c r="E5" s="368"/>
      <c r="F5" s="357"/>
      <c r="G5" s="359"/>
      <c r="H5" s="347"/>
      <c r="I5" s="361"/>
      <c r="J5" s="347"/>
      <c r="K5" s="361"/>
      <c r="L5" s="349" t="s">
        <v>135</v>
      </c>
      <c r="M5" s="350"/>
      <c r="N5" s="351"/>
      <c r="O5" s="352" t="s">
        <v>168</v>
      </c>
      <c r="P5" s="353"/>
      <c r="Q5" s="354"/>
      <c r="R5" s="355" t="s">
        <v>176</v>
      </c>
      <c r="S5" s="355"/>
      <c r="T5" s="355"/>
      <c r="U5" s="361"/>
      <c r="V5" s="345"/>
      <c r="W5" s="347"/>
      <c r="X5" s="34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371879.6</v>
      </c>
      <c r="H8" s="103">
        <f>G8-F8</f>
        <v>-116008.74000000005</v>
      </c>
      <c r="I8" s="210">
        <f aca="true" t="shared" si="0" ref="I8:I15">G8/F8</f>
        <v>0.7622227659714105</v>
      </c>
      <c r="J8" s="104">
        <f aca="true" t="shared" si="1" ref="J8:J52">G8-E8</f>
        <v>-1208754.2000000002</v>
      </c>
      <c r="K8" s="156">
        <f aca="true" t="shared" si="2" ref="K8:K14">G8/E8</f>
        <v>0.23527245842775218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78333.82999999996</v>
      </c>
      <c r="T8" s="143">
        <f aca="true" t="shared" si="6" ref="T8:T20">G8/R8</f>
        <v>1.2668538878962554</v>
      </c>
      <c r="U8" s="103">
        <f>U9+U15+U18+U19+U23+U17</f>
        <v>126345.40100000001</v>
      </c>
      <c r="V8" s="103">
        <f>V9+V15+V18+V19+V23+V17</f>
        <v>4761.499999999993</v>
      </c>
      <c r="W8" s="103">
        <f>V8-U8</f>
        <v>-121583.90100000001</v>
      </c>
      <c r="X8" s="143">
        <f aca="true" t="shared" si="7" ref="X8:X15">V8/U8</f>
        <v>0.03768637372087641</v>
      </c>
      <c r="Y8" s="199">
        <f aca="true" t="shared" si="8" ref="Y8:Y22">T8-Q8</f>
        <v>0.07803747636512437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220972.87</v>
      </c>
      <c r="H9" s="102">
        <f>G9-F9</f>
        <v>-62743.27000000002</v>
      </c>
      <c r="I9" s="208">
        <f t="shared" si="0"/>
        <v>0.7788519539283172</v>
      </c>
      <c r="J9" s="108">
        <f t="shared" si="1"/>
        <v>-735230.13</v>
      </c>
      <c r="K9" s="148">
        <f t="shared" si="2"/>
        <v>0.23109409821972948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58785.51000000001</v>
      </c>
      <c r="T9" s="144">
        <f t="shared" si="6"/>
        <v>1.362454324430708</v>
      </c>
      <c r="U9" s="107">
        <f>F9-березень!F9</f>
        <v>74519.801</v>
      </c>
      <c r="V9" s="110">
        <f>G9-березень!G9</f>
        <v>2177.3399999999965</v>
      </c>
      <c r="W9" s="111">
        <f>V9-U9</f>
        <v>-72342.46100000001</v>
      </c>
      <c r="X9" s="148">
        <f t="shared" si="7"/>
        <v>0.02921827448250964</v>
      </c>
      <c r="Y9" s="200">
        <f t="shared" si="8"/>
        <v>0.1299509325435504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201870.43</v>
      </c>
      <c r="H10" s="71">
        <f aca="true" t="shared" si="9" ref="H10:H47">G10-F10</f>
        <v>-60308.27000000002</v>
      </c>
      <c r="I10" s="209">
        <f t="shared" si="0"/>
        <v>0.7699726560548206</v>
      </c>
      <c r="J10" s="72">
        <f t="shared" si="1"/>
        <v>-679932.5700000001</v>
      </c>
      <c r="K10" s="75">
        <f t="shared" si="2"/>
        <v>0.22892917125480408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53555.06</v>
      </c>
      <c r="T10" s="145">
        <f t="shared" si="6"/>
        <v>1.361089076607502</v>
      </c>
      <c r="U10" s="73">
        <f>F10-березень!F10</f>
        <v>69300</v>
      </c>
      <c r="V10" s="98">
        <f>G10-березень!G10</f>
        <v>2035.539999999979</v>
      </c>
      <c r="W10" s="74">
        <f aca="true" t="shared" si="10" ref="W10:W52">V10-U10</f>
        <v>-67264.46000000002</v>
      </c>
      <c r="X10" s="75">
        <f t="shared" si="7"/>
        <v>0.02937287157287127</v>
      </c>
      <c r="Y10" s="198">
        <f t="shared" si="8"/>
        <v>0.11893763198451102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12023.19</v>
      </c>
      <c r="H11" s="71">
        <f t="shared" si="9"/>
        <v>-2511.51</v>
      </c>
      <c r="I11" s="209">
        <f t="shared" si="0"/>
        <v>0.8272059278829285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F11-березень!F11</f>
        <v>3780</v>
      </c>
      <c r="V11" s="98">
        <f>G11-березень!G11</f>
        <v>0</v>
      </c>
      <c r="W11" s="74">
        <f t="shared" si="10"/>
        <v>-3780</v>
      </c>
      <c r="X11" s="75">
        <f t="shared" si="7"/>
        <v>0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3371.02</v>
      </c>
      <c r="H12" s="71">
        <f t="shared" si="9"/>
        <v>226.61000000000013</v>
      </c>
      <c r="I12" s="209">
        <f t="shared" si="0"/>
        <v>1.0720675738850851</v>
      </c>
      <c r="J12" s="72">
        <f t="shared" si="1"/>
        <v>-8628.98</v>
      </c>
      <c r="K12" s="75">
        <f t="shared" si="2"/>
        <v>0.2809183333333333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1606.33</v>
      </c>
      <c r="T12" s="145">
        <f t="shared" si="6"/>
        <v>1.9102618590233977</v>
      </c>
      <c r="U12" s="73">
        <f>F12-березень!F12</f>
        <v>850.0009999999997</v>
      </c>
      <c r="V12" s="98">
        <f>G12-березень!G12</f>
        <v>91.86999999999989</v>
      </c>
      <c r="W12" s="74">
        <f t="shared" si="10"/>
        <v>-758.1309999999999</v>
      </c>
      <c r="X12" s="75">
        <f t="shared" si="7"/>
        <v>0.10808222578561663</v>
      </c>
      <c r="Y12" s="198">
        <f t="shared" si="8"/>
        <v>0.9096072641425799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3400.6</v>
      </c>
      <c r="H13" s="71">
        <f t="shared" si="9"/>
        <v>-213.0999999999999</v>
      </c>
      <c r="I13" s="209">
        <f t="shared" si="0"/>
        <v>0.9410299692835599</v>
      </c>
      <c r="J13" s="72">
        <f t="shared" si="1"/>
        <v>-8599.4</v>
      </c>
      <c r="K13" s="75">
        <f t="shared" si="2"/>
        <v>0.2833833333333333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771.44</v>
      </c>
      <c r="T13" s="145">
        <f t="shared" si="6"/>
        <v>1.2934169088225898</v>
      </c>
      <c r="U13" s="73">
        <f>F13-березень!F13</f>
        <v>556.7999999999997</v>
      </c>
      <c r="V13" s="98">
        <f>G13-березень!G13</f>
        <v>49.92000000000007</v>
      </c>
      <c r="W13" s="74">
        <f t="shared" si="10"/>
        <v>-506.87999999999965</v>
      </c>
      <c r="X13" s="75">
        <f t="shared" si="7"/>
        <v>0.08965517241379328</v>
      </c>
      <c r="Y13" s="198">
        <f t="shared" si="8"/>
        <v>0.09781790874188667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28160.71</v>
      </c>
      <c r="H19" s="102">
        <f t="shared" si="9"/>
        <v>-16829.29</v>
      </c>
      <c r="I19" s="208">
        <f t="shared" si="12"/>
        <v>0.6259326517003778</v>
      </c>
      <c r="J19" s="108">
        <f t="shared" si="1"/>
        <v>-123567.29000000001</v>
      </c>
      <c r="K19" s="108">
        <f t="shared" si="11"/>
        <v>18.559995518295896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526.8499999999985</v>
      </c>
      <c r="T19" s="146">
        <f t="shared" si="6"/>
        <v>1.0190653784885644</v>
      </c>
      <c r="U19" s="107">
        <f>F19-березень!F19</f>
        <v>11375</v>
      </c>
      <c r="V19" s="110">
        <f>G19-березень!G19</f>
        <v>555.1299999999974</v>
      </c>
      <c r="W19" s="111">
        <f t="shared" si="10"/>
        <v>-10819.870000000003</v>
      </c>
      <c r="X19" s="148">
        <f t="shared" si="13"/>
        <v>0.04880263736263713</v>
      </c>
      <c r="Y19" s="197">
        <f t="shared" si="8"/>
        <v>-0.22511523499822617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12651.21</v>
      </c>
      <c r="H20" s="170">
        <f t="shared" si="9"/>
        <v>-5038.790000000001</v>
      </c>
      <c r="I20" s="211">
        <f t="shared" si="12"/>
        <v>0.7151616732617297</v>
      </c>
      <c r="J20" s="171">
        <f t="shared" si="1"/>
        <v>-54056.79</v>
      </c>
      <c r="K20" s="171">
        <f t="shared" si="11"/>
        <v>18.96505666486778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-5082.850000000002</v>
      </c>
      <c r="T20" s="172">
        <f t="shared" si="6"/>
        <v>0.7133848650562814</v>
      </c>
      <c r="U20" s="136">
        <f>F20-березень!F20</f>
        <v>4475</v>
      </c>
      <c r="V20" s="124">
        <f>G20-березень!G20</f>
        <v>12.839999999998327</v>
      </c>
      <c r="W20" s="116">
        <f t="shared" si="10"/>
        <v>-4462.160000000002</v>
      </c>
      <c r="X20" s="180">
        <f t="shared" si="13"/>
        <v>0.0028692737430163857</v>
      </c>
      <c r="Y20" s="197">
        <f t="shared" si="8"/>
        <v>-0.3849341838838526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3525.3</v>
      </c>
      <c r="H21" s="170">
        <f t="shared" si="9"/>
        <v>-1674.6999999999998</v>
      </c>
      <c r="I21" s="211">
        <f t="shared" si="12"/>
        <v>0.6779423076923077</v>
      </c>
      <c r="J21" s="171">
        <f t="shared" si="1"/>
        <v>-12170.7</v>
      </c>
      <c r="K21" s="171">
        <f t="shared" si="11"/>
        <v>22.459862385321102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1288.5100000000002</v>
      </c>
      <c r="T21" s="172"/>
      <c r="U21" s="136">
        <f>F21-березень!F21</f>
        <v>1300</v>
      </c>
      <c r="V21" s="124">
        <f>G21-березень!G21</f>
        <v>12.440000000000055</v>
      </c>
      <c r="W21" s="116">
        <f t="shared" si="10"/>
        <v>-1287.56</v>
      </c>
      <c r="X21" s="180">
        <f t="shared" si="13"/>
        <v>0.00956923076923081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11984.2</v>
      </c>
      <c r="H22" s="170">
        <f t="shared" si="9"/>
        <v>-10115.8</v>
      </c>
      <c r="I22" s="211">
        <f t="shared" si="12"/>
        <v>0.5422714932126698</v>
      </c>
      <c r="J22" s="171">
        <f t="shared" si="1"/>
        <v>-57339.8</v>
      </c>
      <c r="K22" s="171">
        <f t="shared" si="11"/>
        <v>17.287230973400266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4321.1900000000005</v>
      </c>
      <c r="T22" s="172"/>
      <c r="U22" s="136">
        <f>F22-березень!F22</f>
        <v>5600</v>
      </c>
      <c r="V22" s="124">
        <f>G22-березень!G22</f>
        <v>529.8500000000004</v>
      </c>
      <c r="W22" s="116">
        <f t="shared" si="10"/>
        <v>-5070.15</v>
      </c>
      <c r="X22" s="180">
        <f t="shared" si="13"/>
        <v>0.0946160714285715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122214.16</v>
      </c>
      <c r="H23" s="102">
        <f t="shared" si="9"/>
        <v>-36783.04000000001</v>
      </c>
      <c r="I23" s="208">
        <f t="shared" si="12"/>
        <v>0.7686560518046859</v>
      </c>
      <c r="J23" s="108">
        <f t="shared" si="1"/>
        <v>-349353.0399999999</v>
      </c>
      <c r="K23" s="108">
        <f t="shared" si="11"/>
        <v>25.91659470802889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18241.660000000003</v>
      </c>
      <c r="T23" s="147">
        <f aca="true" t="shared" si="14" ref="T23:T41">G23/R23</f>
        <v>1.1754469691504965</v>
      </c>
      <c r="U23" s="107">
        <f>F23-березень!F23</f>
        <v>40445.600000000006</v>
      </c>
      <c r="V23" s="110">
        <f>G23-березень!G23</f>
        <v>2029.0299999999988</v>
      </c>
      <c r="W23" s="111">
        <f t="shared" si="10"/>
        <v>-38416.57000000001</v>
      </c>
      <c r="X23" s="148">
        <f t="shared" si="13"/>
        <v>0.05016689083608596</v>
      </c>
      <c r="Y23" s="197">
        <f>T23-Q23</f>
        <v>0.08057541538580115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51498.29</v>
      </c>
      <c r="H24" s="102">
        <f t="shared" si="9"/>
        <v>-18291.72000000001</v>
      </c>
      <c r="I24" s="208">
        <f t="shared" si="12"/>
        <v>0.73790346211442</v>
      </c>
      <c r="J24" s="108">
        <f t="shared" si="1"/>
        <v>-165343.71</v>
      </c>
      <c r="K24" s="148">
        <f aca="true" t="shared" si="15" ref="K24:K41">G24/E24</f>
        <v>0.2374922293651599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2934.9300000000003</v>
      </c>
      <c r="T24" s="147">
        <f t="shared" si="14"/>
        <v>1.0604350687431843</v>
      </c>
      <c r="U24" s="107">
        <f>F24-березень!F24</f>
        <v>19921.000000000015</v>
      </c>
      <c r="V24" s="110">
        <f>G24-березень!G24</f>
        <v>431.2700000000041</v>
      </c>
      <c r="W24" s="111">
        <f t="shared" si="10"/>
        <v>-19489.73000000001</v>
      </c>
      <c r="X24" s="148">
        <f t="shared" si="13"/>
        <v>0.021649013603734942</v>
      </c>
      <c r="Y24" s="197">
        <f aca="true" t="shared" si="16" ref="Y24:Y99">T24-Q24</f>
        <v>0.014057023910805544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7029.08</v>
      </c>
      <c r="H25" s="170">
        <f t="shared" si="9"/>
        <v>-4207.42</v>
      </c>
      <c r="I25" s="211">
        <f t="shared" si="12"/>
        <v>0.6255577804476483</v>
      </c>
      <c r="J25" s="171">
        <f t="shared" si="1"/>
        <v>-21754.92</v>
      </c>
      <c r="K25" s="180">
        <f t="shared" si="15"/>
        <v>0.24420094496942746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1815.1400000000003</v>
      </c>
      <c r="T25" s="152">
        <f t="shared" si="14"/>
        <v>1.348132122732521</v>
      </c>
      <c r="U25" s="136">
        <f>F25-березень!F25</f>
        <v>4879</v>
      </c>
      <c r="V25" s="124">
        <f>G25-березень!G25</f>
        <v>87.32999999999993</v>
      </c>
      <c r="W25" s="116">
        <f t="shared" si="10"/>
        <v>-4791.67</v>
      </c>
      <c r="X25" s="180">
        <f t="shared" si="13"/>
        <v>0.01789915966386553</v>
      </c>
      <c r="Y25" s="197">
        <f t="shared" si="16"/>
        <v>0.21553517677798228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518.21</v>
      </c>
      <c r="H26" s="158">
        <f t="shared" si="9"/>
        <v>237.60000000000002</v>
      </c>
      <c r="I26" s="212">
        <f t="shared" si="12"/>
        <v>1.8467267738141906</v>
      </c>
      <c r="J26" s="176">
        <f t="shared" si="1"/>
        <v>-1003.79</v>
      </c>
      <c r="K26" s="191">
        <f t="shared" si="15"/>
        <v>0.3404796320630749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361.13</v>
      </c>
      <c r="T26" s="162">
        <f t="shared" si="14"/>
        <v>3.299019607843137</v>
      </c>
      <c r="U26" s="167">
        <f>F26-березень!F26</f>
        <v>69</v>
      </c>
      <c r="V26" s="167">
        <f>G26-березень!G26</f>
        <v>6.650000000000034</v>
      </c>
      <c r="W26" s="176">
        <f t="shared" si="10"/>
        <v>-62.349999999999966</v>
      </c>
      <c r="X26" s="191">
        <f t="shared" si="13"/>
        <v>0.09637681159420339</v>
      </c>
      <c r="Y26" s="197">
        <f t="shared" si="16"/>
        <v>2.2929980200211544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6510.870000000001</v>
      </c>
      <c r="H27" s="158">
        <f t="shared" si="9"/>
        <v>-4445.019999999999</v>
      </c>
      <c r="I27" s="212">
        <f t="shared" si="12"/>
        <v>0.5942803368781542</v>
      </c>
      <c r="J27" s="176">
        <f t="shared" si="1"/>
        <v>-20751.129999999997</v>
      </c>
      <c r="K27" s="191">
        <f t="shared" si="15"/>
        <v>0.2388258381630108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1454.000000000001</v>
      </c>
      <c r="T27" s="162">
        <f t="shared" si="14"/>
        <v>1.2875296378985421</v>
      </c>
      <c r="U27" s="167">
        <f>F27-березень!F27</f>
        <v>4809.999999999999</v>
      </c>
      <c r="V27" s="167">
        <f>G27-березень!G27</f>
        <v>80.6800000000012</v>
      </c>
      <c r="W27" s="176">
        <f t="shared" si="10"/>
        <v>-4729.319999999998</v>
      </c>
      <c r="X27" s="191">
        <f t="shared" si="13"/>
        <v>0.016773388773389027</v>
      </c>
      <c r="Y27" s="197">
        <f t="shared" si="16"/>
        <v>0.14692126880701228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81.85</v>
      </c>
      <c r="H28" s="218">
        <f t="shared" si="9"/>
        <v>-50.95000000000002</v>
      </c>
      <c r="I28" s="220">
        <f t="shared" si="12"/>
        <v>0.6163403614457831</v>
      </c>
      <c r="J28" s="221">
        <f t="shared" si="1"/>
        <v>-234.15</v>
      </c>
      <c r="K28" s="222">
        <f t="shared" si="15"/>
        <v>0.25901898734177214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-50.48000000000002</v>
      </c>
      <c r="T28" s="222">
        <f t="shared" si="14"/>
        <v>0.6185294339907805</v>
      </c>
      <c r="U28" s="206">
        <f>F28-березень!F28</f>
        <v>65.00000000000001</v>
      </c>
      <c r="V28" s="206">
        <f>G28-березень!G28</f>
        <v>0.28000000000000114</v>
      </c>
      <c r="W28" s="221">
        <f t="shared" si="10"/>
        <v>-64.72000000000001</v>
      </c>
      <c r="X28" s="222">
        <f t="shared" si="13"/>
        <v>0.004307692307692324</v>
      </c>
      <c r="Y28" s="338">
        <f t="shared" si="16"/>
        <v>-0.526771569959783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436.36</v>
      </c>
      <c r="H29" s="218">
        <f t="shared" si="9"/>
        <v>288.55</v>
      </c>
      <c r="I29" s="220">
        <f t="shared" si="12"/>
        <v>2.9521683241999863</v>
      </c>
      <c r="J29" s="221">
        <f t="shared" si="1"/>
        <v>-769.64</v>
      </c>
      <c r="K29" s="222">
        <f t="shared" si="15"/>
        <v>0.3618242122719735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411.61</v>
      </c>
      <c r="T29" s="222">
        <f t="shared" si="14"/>
        <v>17.63070707070707</v>
      </c>
      <c r="U29" s="206">
        <f>F29-березень!F29</f>
        <v>4</v>
      </c>
      <c r="V29" s="206">
        <f>G29-березень!G29</f>
        <v>6.3700000000000045</v>
      </c>
      <c r="W29" s="221">
        <f t="shared" si="10"/>
        <v>2.3700000000000045</v>
      </c>
      <c r="X29" s="222">
        <f t="shared" si="13"/>
        <v>1.5925000000000011</v>
      </c>
      <c r="Y29" s="338">
        <f t="shared" si="16"/>
        <v>16.655751938045267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556.56</v>
      </c>
      <c r="H30" s="218">
        <f t="shared" si="9"/>
        <v>226.46999999999997</v>
      </c>
      <c r="I30" s="220">
        <f t="shared" si="12"/>
        <v>1.6860856130146324</v>
      </c>
      <c r="J30" s="221">
        <f t="shared" si="1"/>
        <v>-1798.44</v>
      </c>
      <c r="K30" s="222">
        <f t="shared" si="15"/>
        <v>0.23633121019108277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491.2699999999999</v>
      </c>
      <c r="T30" s="222">
        <f t="shared" si="14"/>
        <v>8.52442946852504</v>
      </c>
      <c r="U30" s="206">
        <f>F30-березень!F30</f>
        <v>10</v>
      </c>
      <c r="V30" s="206">
        <f>G30-березень!G30</f>
        <v>3.6099999999999</v>
      </c>
      <c r="W30" s="221">
        <f t="shared" si="10"/>
        <v>-6.3900000000001</v>
      </c>
      <c r="X30" s="222">
        <f t="shared" si="13"/>
        <v>0.36099999999999</v>
      </c>
      <c r="Y30" s="338">
        <f t="shared" si="16"/>
        <v>7.463738104939859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5954.31</v>
      </c>
      <c r="H31" s="218">
        <f t="shared" si="9"/>
        <v>-4671.489999999999</v>
      </c>
      <c r="I31" s="220">
        <f t="shared" si="12"/>
        <v>0.5603634549869188</v>
      </c>
      <c r="J31" s="221">
        <f t="shared" si="1"/>
        <v>-18952.69</v>
      </c>
      <c r="K31" s="222">
        <f t="shared" si="15"/>
        <v>0.23906170955956157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962.7300000000005</v>
      </c>
      <c r="T31" s="222">
        <f t="shared" si="14"/>
        <v>1.1928707944177996</v>
      </c>
      <c r="U31" s="206">
        <f>F31-березень!F31</f>
        <v>4799.999999999999</v>
      </c>
      <c r="V31" s="206">
        <f>G31-березень!G31</f>
        <v>77.07000000000062</v>
      </c>
      <c r="W31" s="221"/>
      <c r="X31" s="222">
        <f t="shared" si="13"/>
        <v>0.016056250000000133</v>
      </c>
      <c r="Y31" s="338">
        <f t="shared" si="16"/>
        <v>0.04407850918042855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345.07</v>
      </c>
      <c r="H32" s="170">
        <f t="shared" si="9"/>
        <v>173.04</v>
      </c>
      <c r="I32" s="211">
        <f t="shared" si="12"/>
        <v>2.005871068999593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F32-березень!F32</f>
        <v>12</v>
      </c>
      <c r="V32" s="124">
        <f>G32-березень!G32</f>
        <v>0</v>
      </c>
      <c r="W32" s="116">
        <f t="shared" si="10"/>
        <v>-12</v>
      </c>
      <c r="X32" s="180">
        <f t="shared" si="13"/>
        <v>0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38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223.73</v>
      </c>
      <c r="H34" s="71">
        <f t="shared" si="9"/>
        <v>79.54999999999998</v>
      </c>
      <c r="I34" s="209">
        <f t="shared" si="12"/>
        <v>1.551740879456235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F34-березень!F34</f>
        <v>12</v>
      </c>
      <c r="V34" s="98">
        <f>G34-березень!G34</f>
        <v>0</v>
      </c>
      <c r="W34" s="74"/>
      <c r="X34" s="75">
        <f t="shared" si="13"/>
        <v>0</v>
      </c>
      <c r="Y34" s="338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44124.14</v>
      </c>
      <c r="H35" s="102">
        <f t="shared" si="9"/>
        <v>-14257.340000000004</v>
      </c>
      <c r="I35" s="211">
        <f t="shared" si="12"/>
        <v>0.755790021082028</v>
      </c>
      <c r="J35" s="171">
        <f t="shared" si="1"/>
        <v>-143651.86</v>
      </c>
      <c r="K35" s="180">
        <f t="shared" si="15"/>
        <v>0.23498285190865711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805.9700000000012</v>
      </c>
      <c r="T35" s="149">
        <f t="shared" si="14"/>
        <v>1.018605818297495</v>
      </c>
      <c r="U35" s="136">
        <f>F35-березень!F35</f>
        <v>15030.000000000007</v>
      </c>
      <c r="V35" s="124">
        <f>G35-березень!G35</f>
        <v>343.9400000000023</v>
      </c>
      <c r="W35" s="116">
        <f t="shared" si="10"/>
        <v>-14686.060000000005</v>
      </c>
      <c r="X35" s="180">
        <f t="shared" si="13"/>
        <v>0.022883566200931613</v>
      </c>
      <c r="Y35" s="198">
        <f t="shared" si="16"/>
        <v>-0.01784796162972424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30389.83</v>
      </c>
      <c r="H37" s="158">
        <f t="shared" si="9"/>
        <v>-8696.419999999998</v>
      </c>
      <c r="I37" s="212">
        <f t="shared" si="12"/>
        <v>0.7775069237903355</v>
      </c>
      <c r="J37" s="176">
        <f t="shared" si="1"/>
        <v>-96696.17</v>
      </c>
      <c r="K37" s="191">
        <f t="shared" si="15"/>
        <v>0.23912807075523662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1507.0999999999985</v>
      </c>
      <c r="T37" s="162">
        <f t="shared" si="14"/>
        <v>1.052179970522177</v>
      </c>
      <c r="U37" s="167">
        <f>F37-березень!F37</f>
        <v>10100</v>
      </c>
      <c r="V37" s="167">
        <f>G37-березень!G37</f>
        <v>259.32000000000335</v>
      </c>
      <c r="W37" s="176">
        <f t="shared" si="10"/>
        <v>-9840.679999999997</v>
      </c>
      <c r="X37" s="191">
        <f>V37/U37</f>
        <v>0.025675247524752805</v>
      </c>
      <c r="Y37" s="197">
        <f t="shared" si="16"/>
        <v>0.015275908257999848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13463.34</v>
      </c>
      <c r="H38" s="218">
        <f t="shared" si="9"/>
        <v>-5021.060000000001</v>
      </c>
      <c r="I38" s="220">
        <f t="shared" si="12"/>
        <v>0.72836229469174</v>
      </c>
      <c r="J38" s="221">
        <f t="shared" si="1"/>
        <v>-43826.66</v>
      </c>
      <c r="K38" s="222">
        <f t="shared" si="15"/>
        <v>0.2350033164601152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-674.7999999999993</v>
      </c>
      <c r="T38" s="222">
        <f t="shared" si="14"/>
        <v>0.95227094936109</v>
      </c>
      <c r="U38" s="206">
        <f>F38-березень!F38</f>
        <v>4700.000000000002</v>
      </c>
      <c r="V38" s="206">
        <f>G38-березень!G38</f>
        <v>79.77000000000044</v>
      </c>
      <c r="W38" s="221">
        <f t="shared" si="10"/>
        <v>-4620.230000000001</v>
      </c>
      <c r="X38" s="222">
        <f t="shared" si="18"/>
        <v>1.6972340425532</v>
      </c>
      <c r="Y38" s="338">
        <f t="shared" si="16"/>
        <v>-0.0847226994374527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25394.9</v>
      </c>
      <c r="H39" s="218">
        <f t="shared" si="9"/>
        <v>-7598.549999999996</v>
      </c>
      <c r="I39" s="220">
        <f t="shared" si="12"/>
        <v>0.7696951970769957</v>
      </c>
      <c r="J39" s="221">
        <f t="shared" si="1"/>
        <v>-80591.1</v>
      </c>
      <c r="K39" s="222">
        <f t="shared" si="15"/>
        <v>0.23960617440039253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1222.5</v>
      </c>
      <c r="T39" s="222">
        <f t="shared" si="14"/>
        <v>1.0505742086015455</v>
      </c>
      <c r="U39" s="206">
        <f>F39-березень!F39</f>
        <v>8599.999999999996</v>
      </c>
      <c r="V39" s="206">
        <f>G39-березень!G39</f>
        <v>190.19000000000233</v>
      </c>
      <c r="W39" s="221">
        <f t="shared" si="10"/>
        <v>-8409.809999999994</v>
      </c>
      <c r="X39" s="222">
        <f t="shared" si="18"/>
        <v>2.211511627907005</v>
      </c>
      <c r="Y39" s="338">
        <f t="shared" si="16"/>
        <v>0.013492160172222878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270.96</v>
      </c>
      <c r="H40" s="218">
        <f t="shared" si="9"/>
        <v>-539.8700000000001</v>
      </c>
      <c r="I40" s="220">
        <f t="shared" si="12"/>
        <v>0.33417609116584235</v>
      </c>
      <c r="J40" s="221">
        <f t="shared" si="1"/>
        <v>-3129.04</v>
      </c>
      <c r="K40" s="222">
        <f t="shared" si="15"/>
        <v>0.07969411764705882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-26.340000000000032</v>
      </c>
      <c r="T40" s="222">
        <f t="shared" si="14"/>
        <v>0.9114026236125126</v>
      </c>
      <c r="U40" s="206">
        <f>F40-березень!F40</f>
        <v>230</v>
      </c>
      <c r="V40" s="206">
        <f>G40-березень!G40</f>
        <v>4.839999999999975</v>
      </c>
      <c r="W40" s="221">
        <f t="shared" si="10"/>
        <v>-225.16000000000003</v>
      </c>
      <c r="X40" s="222">
        <f t="shared" si="18"/>
        <v>2.1043478260869457</v>
      </c>
      <c r="Y40" s="338">
        <f t="shared" si="16"/>
        <v>-0.09976783593472094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4994.93</v>
      </c>
      <c r="H41" s="218">
        <f t="shared" si="9"/>
        <v>-1097.87</v>
      </c>
      <c r="I41" s="220">
        <f t="shared" si="12"/>
        <v>0.8198086265756303</v>
      </c>
      <c r="J41" s="221">
        <f t="shared" si="1"/>
        <v>-16105.07</v>
      </c>
      <c r="K41" s="222">
        <f t="shared" si="15"/>
        <v>0.23672654028436022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284.60000000000036</v>
      </c>
      <c r="T41" s="222">
        <f t="shared" si="14"/>
        <v>1.0604203951740112</v>
      </c>
      <c r="U41" s="206">
        <f>F41-березень!F41</f>
        <v>1500</v>
      </c>
      <c r="V41" s="206">
        <f>G41-березень!G41</f>
        <v>69.13000000000011</v>
      </c>
      <c r="W41" s="221">
        <f t="shared" si="10"/>
        <v>-1430.87</v>
      </c>
      <c r="X41" s="222">
        <f t="shared" si="18"/>
        <v>4.608666666666674</v>
      </c>
      <c r="Y41" s="338">
        <f t="shared" si="16"/>
        <v>0.024409439971910585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47.23</v>
      </c>
      <c r="H43" s="102">
        <f t="shared" si="9"/>
        <v>-3.200000000000003</v>
      </c>
      <c r="I43" s="208">
        <f>G43/F43</f>
        <v>0.9365457069204838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F43-березень!F43</f>
        <v>17</v>
      </c>
      <c r="V43" s="110">
        <f>G43-березень!G43</f>
        <v>0</v>
      </c>
      <c r="W43" s="111">
        <f t="shared" si="10"/>
        <v>-17</v>
      </c>
      <c r="X43" s="148">
        <f>V43/U43</f>
        <v>0</v>
      </c>
      <c r="Y43" s="339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38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8.33</v>
      </c>
      <c r="H45" s="71">
        <f t="shared" si="9"/>
        <v>-11.200000000000001</v>
      </c>
      <c r="I45" s="209">
        <f>G45/F45</f>
        <v>0.4265232974910394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F45-березень!F45</f>
        <v>12</v>
      </c>
      <c r="V45" s="98">
        <f>G45-березень!G45</f>
        <v>0</v>
      </c>
      <c r="W45" s="74">
        <f t="shared" si="10"/>
        <v>-12</v>
      </c>
      <c r="X45" s="75">
        <f>V45/U45</f>
        <v>0</v>
      </c>
      <c r="Y45" s="338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F46-березень!F46</f>
        <v>0</v>
      </c>
      <c r="V46" s="110">
        <f>G46-березень!G46</f>
        <v>0</v>
      </c>
      <c r="W46" s="111">
        <f t="shared" si="10"/>
        <v>0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70670.4</v>
      </c>
      <c r="H47" s="102">
        <f t="shared" si="9"/>
        <v>-18486.36</v>
      </c>
      <c r="I47" s="208">
        <f>G47/F47</f>
        <v>0.7926532996488432</v>
      </c>
      <c r="J47" s="108">
        <f t="shared" si="1"/>
        <v>-183880.4</v>
      </c>
      <c r="K47" s="148">
        <f>G47/E47</f>
        <v>0.27762788410014816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15273.779999999992</v>
      </c>
      <c r="T47" s="160">
        <f t="shared" si="19"/>
        <v>1.275716821712227</v>
      </c>
      <c r="U47" s="107">
        <f>F47-березень!F47</f>
        <v>20507.59999999999</v>
      </c>
      <c r="V47" s="110">
        <f>G47-березень!G47</f>
        <v>1597.75</v>
      </c>
      <c r="W47" s="111">
        <f t="shared" si="10"/>
        <v>-18909.84999999999</v>
      </c>
      <c r="X47" s="148">
        <f>V47/U47</f>
        <v>0.07791014063079058</v>
      </c>
      <c r="Y47" s="197">
        <f t="shared" si="16"/>
        <v>0.13611518722732296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14906.44</v>
      </c>
      <c r="H49" s="71">
        <f>G49-F49</f>
        <v>-4077.4299999999985</v>
      </c>
      <c r="I49" s="209">
        <f>G49/F49</f>
        <v>0.7852160808096559</v>
      </c>
      <c r="J49" s="72">
        <f t="shared" si="1"/>
        <v>-40808.56</v>
      </c>
      <c r="K49" s="75">
        <f>G49/E49</f>
        <v>0.26754805707619134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3958.5200000000004</v>
      </c>
      <c r="T49" s="153">
        <f t="shared" si="19"/>
        <v>1.3615773589869127</v>
      </c>
      <c r="U49" s="73">
        <f>F49-березень!F49</f>
        <v>3999.999999999998</v>
      </c>
      <c r="V49" s="98">
        <f>G49-березень!G49</f>
        <v>400.2000000000007</v>
      </c>
      <c r="W49" s="74">
        <f t="shared" si="10"/>
        <v>-3599.7999999999975</v>
      </c>
      <c r="X49" s="75">
        <f>V49/U49</f>
        <v>0.10005000000000022</v>
      </c>
      <c r="Y49" s="197">
        <f t="shared" si="16"/>
        <v>0.12430044746459235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55741.66</v>
      </c>
      <c r="H50" s="71">
        <f>G50-F50</f>
        <v>-14398.830000000002</v>
      </c>
      <c r="I50" s="209">
        <f>G50/F50</f>
        <v>0.7947144366969777</v>
      </c>
      <c r="J50" s="72">
        <f t="shared" si="1"/>
        <v>-143013.34</v>
      </c>
      <c r="K50" s="75">
        <f>G50/E50</f>
        <v>0.2804541269402028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11309.080000000002</v>
      </c>
      <c r="T50" s="153">
        <f t="shared" si="19"/>
        <v>1.2545222447132263</v>
      </c>
      <c r="U50" s="73">
        <f>F50-березень!F50</f>
        <v>16500.000000000007</v>
      </c>
      <c r="V50" s="98">
        <f>G50-березень!G50</f>
        <v>1197.560000000005</v>
      </c>
      <c r="W50" s="74">
        <f t="shared" si="10"/>
        <v>-15302.440000000002</v>
      </c>
      <c r="X50" s="75">
        <f>V50/U50</f>
        <v>0.07257939393939421</v>
      </c>
      <c r="Y50" s="197">
        <f t="shared" si="16"/>
        <v>0.13961377765781635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13624.02</v>
      </c>
      <c r="H53" s="103">
        <f>H54+H55+H56+H57+H58+H60+H62+H63+H64+H65+H66+H71+H72+H76+H59+H61</f>
        <v>-766.5300000000004</v>
      </c>
      <c r="I53" s="143">
        <f aca="true" t="shared" si="20" ref="I53:I72">G53/F53</f>
        <v>0.9467337940523469</v>
      </c>
      <c r="J53" s="104">
        <f>G53-E53</f>
        <v>-33624.880000000005</v>
      </c>
      <c r="K53" s="156">
        <f aca="true" t="shared" si="21" ref="K53:K72">G53/E53</f>
        <v>0.28834576043040155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-250.20999999999913</v>
      </c>
      <c r="T53" s="143">
        <f>G53/R53</f>
        <v>0.9819658460325367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2126.53</v>
      </c>
      <c r="W53" s="103">
        <f>W54+W55+W56+W57+W58+W60+W62+W63+W64+W65+W66+W71+W72+W76</f>
        <v>-1610.9719999999998</v>
      </c>
      <c r="X53" s="143">
        <f>V53/U53</f>
        <v>0.5674526658024467</v>
      </c>
      <c r="Y53" s="197">
        <f t="shared" si="16"/>
        <v>0.3009593223426147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-2464.67</v>
      </c>
      <c r="T55" s="155">
        <f aca="true" t="shared" si="27" ref="T55:T78">G55/R55</f>
        <v>0.4758073435080734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0.29722060750213003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226.74</v>
      </c>
      <c r="H58" s="102">
        <f t="shared" si="22"/>
        <v>18.310000000000002</v>
      </c>
      <c r="I58" s="213">
        <f t="shared" si="20"/>
        <v>1.087847238881159</v>
      </c>
      <c r="J58" s="115">
        <f t="shared" si="24"/>
        <v>-517.26</v>
      </c>
      <c r="K58" s="155">
        <f t="shared" si="21"/>
        <v>0.304758064516129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-51.01999999999998</v>
      </c>
      <c r="T58" s="155">
        <f t="shared" si="27"/>
        <v>0.8163162442396314</v>
      </c>
      <c r="U58" s="107">
        <f>F58-березень!F58</f>
        <v>60</v>
      </c>
      <c r="V58" s="110">
        <f>G58-березень!G58</f>
        <v>2.1500000000000057</v>
      </c>
      <c r="W58" s="111">
        <f t="shared" si="23"/>
        <v>-57.849999999999994</v>
      </c>
      <c r="X58" s="155">
        <f t="shared" si="28"/>
        <v>0.035833333333333425</v>
      </c>
      <c r="Y58" s="197">
        <f t="shared" si="16"/>
        <v>-0.2385390676090593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8.62</v>
      </c>
      <c r="H59" s="102">
        <f t="shared" si="22"/>
        <v>-21.380000000000003</v>
      </c>
      <c r="I59" s="213">
        <f t="shared" si="20"/>
        <v>0.28733333333333333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F59-березень!F59</f>
        <v>10</v>
      </c>
      <c r="V59" s="110">
        <f>G59-березень!G59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15.891462096649681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290.57</v>
      </c>
      <c r="H60" s="102">
        <f t="shared" si="22"/>
        <v>-93.43</v>
      </c>
      <c r="I60" s="213">
        <f t="shared" si="20"/>
        <v>0.7566927083333334</v>
      </c>
      <c r="J60" s="115">
        <f t="shared" si="24"/>
        <v>-993.4300000000001</v>
      </c>
      <c r="K60" s="155">
        <f t="shared" si="21"/>
        <v>0.2263006230529595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-10.379999999999995</v>
      </c>
      <c r="T60" s="155">
        <f t="shared" si="27"/>
        <v>0.9655092208007975</v>
      </c>
      <c r="U60" s="107">
        <f>F60-березень!F60</f>
        <v>100</v>
      </c>
      <c r="V60" s="110">
        <f>G60-березень!G60</f>
        <v>10.240000000000009</v>
      </c>
      <c r="W60" s="111">
        <f t="shared" si="23"/>
        <v>-89.75999999999999</v>
      </c>
      <c r="X60" s="155">
        <f t="shared" si="28"/>
        <v>0.10240000000000009</v>
      </c>
      <c r="Y60" s="197">
        <f t="shared" si="16"/>
        <v>-0.09992716003462399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6458.07</v>
      </c>
      <c r="H62" s="102">
        <f t="shared" si="22"/>
        <v>-1031.9300000000003</v>
      </c>
      <c r="I62" s="213">
        <f t="shared" si="20"/>
        <v>0.8622256341789052</v>
      </c>
      <c r="J62" s="115">
        <f t="shared" si="24"/>
        <v>-14801.93</v>
      </c>
      <c r="K62" s="155">
        <f t="shared" si="21"/>
        <v>0.3037662276575729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2873.1299999999997</v>
      </c>
      <c r="T62" s="155">
        <f t="shared" si="27"/>
        <v>1.8014443756380858</v>
      </c>
      <c r="U62" s="107">
        <f>F62-березень!F62</f>
        <v>1800</v>
      </c>
      <c r="V62" s="110">
        <f>G62-березень!G62</f>
        <v>256.1300000000001</v>
      </c>
      <c r="W62" s="111">
        <f t="shared" si="23"/>
        <v>-1543.87</v>
      </c>
      <c r="X62" s="155">
        <f t="shared" si="28"/>
        <v>0.1422944444444445</v>
      </c>
      <c r="Y62" s="197">
        <f t="shared" si="16"/>
        <v>0.744266255545436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214.5</v>
      </c>
      <c r="H63" s="102">
        <f t="shared" si="22"/>
        <v>-34.5</v>
      </c>
      <c r="I63" s="213">
        <f t="shared" si="20"/>
        <v>0.8614457831325302</v>
      </c>
      <c r="J63" s="115">
        <f t="shared" si="24"/>
        <v>-552.5</v>
      </c>
      <c r="K63" s="155">
        <f t="shared" si="21"/>
        <v>0.2796610169491525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79.30000000000001</v>
      </c>
      <c r="T63" s="155">
        <f t="shared" si="27"/>
        <v>1.5865384615384617</v>
      </c>
      <c r="U63" s="107">
        <f>F63-березень!F63</f>
        <v>64</v>
      </c>
      <c r="V63" s="110">
        <f>G63-березень!G63</f>
        <v>12.340000000000003</v>
      </c>
      <c r="W63" s="111">
        <f t="shared" si="23"/>
        <v>-51.66</v>
      </c>
      <c r="X63" s="155">
        <f t="shared" si="28"/>
        <v>0.19281250000000005</v>
      </c>
      <c r="Y63" s="197">
        <f t="shared" si="16"/>
        <v>0.5063176289093139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7.76</v>
      </c>
      <c r="H64" s="102">
        <f t="shared" si="22"/>
        <v>-4.24</v>
      </c>
      <c r="I64" s="213">
        <f t="shared" si="20"/>
        <v>0.6466666666666666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F64-березень!F64</f>
        <v>4</v>
      </c>
      <c r="V64" s="110">
        <f>G64-березень!G64</f>
        <v>0</v>
      </c>
      <c r="W64" s="111">
        <f t="shared" si="23"/>
        <v>-4</v>
      </c>
      <c r="X64" s="155">
        <f t="shared" si="28"/>
        <v>0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656.74</v>
      </c>
      <c r="T65" s="155">
        <f t="shared" si="27"/>
        <v>1.4046232802863674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0.4880273951908276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163.02</v>
      </c>
      <c r="H66" s="102">
        <f t="shared" si="22"/>
        <v>-106.61999999999998</v>
      </c>
      <c r="I66" s="213">
        <f t="shared" si="20"/>
        <v>0.6045838896306187</v>
      </c>
      <c r="J66" s="115">
        <f t="shared" si="24"/>
        <v>-702.98</v>
      </c>
      <c r="K66" s="155">
        <f t="shared" si="21"/>
        <v>0.18824480369515012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-82.97999999999999</v>
      </c>
      <c r="T66" s="155">
        <f t="shared" si="27"/>
        <v>0.6626829268292683</v>
      </c>
      <c r="U66" s="107">
        <f>F66-березень!F66</f>
        <v>74.5</v>
      </c>
      <c r="V66" s="110">
        <f>G66-березень!G66</f>
        <v>2.719999999999999</v>
      </c>
      <c r="W66" s="111">
        <f t="shared" si="23"/>
        <v>-71.78</v>
      </c>
      <c r="X66" s="155">
        <f t="shared" si="28"/>
        <v>0.03651006711409394</v>
      </c>
      <c r="Y66" s="197">
        <f t="shared" si="16"/>
        <v>-0.3035976739160844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126.19</v>
      </c>
      <c r="H67" s="71">
        <f t="shared" si="22"/>
        <v>-97.22999999999999</v>
      </c>
      <c r="I67" s="209">
        <f t="shared" si="20"/>
        <v>0.56481067048608</v>
      </c>
      <c r="J67" s="72">
        <f t="shared" si="24"/>
        <v>-602.01</v>
      </c>
      <c r="K67" s="75">
        <f t="shared" si="21"/>
        <v>0.1732903048613018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-94.75</v>
      </c>
      <c r="T67" s="204">
        <f t="shared" si="27"/>
        <v>0.5711505386077668</v>
      </c>
      <c r="U67" s="73">
        <f>F67-березень!F67</f>
        <v>63</v>
      </c>
      <c r="V67" s="98">
        <f>G67-березень!G67</f>
        <v>1.730000000000004</v>
      </c>
      <c r="W67" s="74">
        <f t="shared" si="23"/>
        <v>-61.269999999999996</v>
      </c>
      <c r="X67" s="75">
        <f t="shared" si="28"/>
        <v>0.027460317460317525</v>
      </c>
      <c r="Y67" s="197">
        <f t="shared" si="16"/>
        <v>-0.3862263381506672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36.77</v>
      </c>
      <c r="H70" s="71">
        <f t="shared" si="22"/>
        <v>-9.25</v>
      </c>
      <c r="I70" s="209">
        <f t="shared" si="20"/>
        <v>0.799000434593655</v>
      </c>
      <c r="J70" s="72">
        <f t="shared" si="24"/>
        <v>-100.03</v>
      </c>
      <c r="K70" s="75">
        <f t="shared" si="21"/>
        <v>0.26878654970760235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11.810000000000002</v>
      </c>
      <c r="T70" s="204">
        <f t="shared" si="27"/>
        <v>1.4731570512820513</v>
      </c>
      <c r="U70" s="73">
        <f>F70-березень!F70</f>
        <v>11.400000000000006</v>
      </c>
      <c r="V70" s="98">
        <f>G70-березень!G70</f>
        <v>0.980000000000004</v>
      </c>
      <c r="W70" s="74">
        <f t="shared" si="23"/>
        <v>-10.420000000000002</v>
      </c>
      <c r="X70" s="75">
        <f t="shared" si="28"/>
        <v>0.08596491228070206</v>
      </c>
      <c r="Y70" s="197">
        <f t="shared" si="16"/>
        <v>0.4629665328948114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1624.99</v>
      </c>
      <c r="H72" s="102">
        <f t="shared" si="22"/>
        <v>-983.6600000000001</v>
      </c>
      <c r="I72" s="213">
        <f t="shared" si="20"/>
        <v>0.622923734498687</v>
      </c>
      <c r="J72" s="115">
        <f t="shared" si="24"/>
        <v>-6545.01</v>
      </c>
      <c r="K72" s="155">
        <f t="shared" si="21"/>
        <v>0.19889718482252142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-1450.74</v>
      </c>
      <c r="T72" s="155">
        <f t="shared" si="27"/>
        <v>0.5283266086425011</v>
      </c>
      <c r="U72" s="107">
        <f>F72-березень!F72</f>
        <v>680</v>
      </c>
      <c r="V72" s="110">
        <f>G72-березень!G72</f>
        <v>126.28999999999996</v>
      </c>
      <c r="W72" s="111">
        <f t="shared" si="23"/>
        <v>-553.71</v>
      </c>
      <c r="X72" s="155">
        <f t="shared" si="28"/>
        <v>0.18572058823529405</v>
      </c>
      <c r="Y72" s="197">
        <f t="shared" si="16"/>
        <v>-0.48194677108674067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385508.81</v>
      </c>
      <c r="H79" s="103">
        <f>G79-F79</f>
        <v>-116782.54999999999</v>
      </c>
      <c r="I79" s="210">
        <f>G79/F79</f>
        <v>0.7675003806555621</v>
      </c>
      <c r="J79" s="104">
        <f>G79-E79</f>
        <v>-1242408.89</v>
      </c>
      <c r="K79" s="156">
        <f>G79/E79</f>
        <v>0.23681099480643278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78079.84999999998</v>
      </c>
      <c r="T79" s="156">
        <f>G79/R79</f>
        <v>1.2539768862373928</v>
      </c>
      <c r="U79" s="103">
        <f>U8+U53+U77+U78</f>
        <v>130095.803</v>
      </c>
      <c r="V79" s="103">
        <f>V8+V53+V77+V78</f>
        <v>6888.029999999993</v>
      </c>
      <c r="W79" s="135">
        <f>V79-U79</f>
        <v>-123207.773</v>
      </c>
      <c r="X79" s="156">
        <f>V79/U79</f>
        <v>0.05294582792959119</v>
      </c>
      <c r="Y79" s="197">
        <f t="shared" si="16"/>
        <v>0.09034442071993176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F87-березень!F87</f>
        <v>0</v>
      </c>
      <c r="V87" s="174">
        <f>G87-березень!G87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F88-березень!F88</f>
        <v>0</v>
      </c>
      <c r="V88" s="118">
        <f>G88-березень!G88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1277.69</v>
      </c>
      <c r="H89" s="112">
        <f t="shared" si="31"/>
        <v>-1737.31</v>
      </c>
      <c r="I89" s="213">
        <f>G89/F89</f>
        <v>0.4237777777777778</v>
      </c>
      <c r="J89" s="117">
        <f aca="true" t="shared" si="35" ref="J89:J98">G89-E89</f>
        <v>-15171.31</v>
      </c>
      <c r="K89" s="147">
        <f>G89/E89</f>
        <v>0.07767584655602165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1110.49</v>
      </c>
      <c r="T89" s="147">
        <f t="shared" si="30"/>
        <v>7.641686602870815</v>
      </c>
      <c r="U89" s="112">
        <f>F89-березень!F89</f>
        <v>1000</v>
      </c>
      <c r="V89" s="118">
        <f>G89-березень!G89</f>
        <v>75.98000000000002</v>
      </c>
      <c r="W89" s="117">
        <f t="shared" si="34"/>
        <v>-924.02</v>
      </c>
      <c r="X89" s="147">
        <f>V89/U89</f>
        <v>0.07598000000000002</v>
      </c>
      <c r="Y89" s="197">
        <f t="shared" si="16"/>
        <v>5.621830641477581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1545.29</v>
      </c>
      <c r="H90" s="112">
        <f t="shared" si="31"/>
        <v>-6454.71</v>
      </c>
      <c r="I90" s="213">
        <f>G90/F90</f>
        <v>0.19316125</v>
      </c>
      <c r="J90" s="117">
        <f t="shared" si="35"/>
        <v>-20469.71</v>
      </c>
      <c r="K90" s="147">
        <f>G90/E90</f>
        <v>0.07019259595730183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331.04999999999995</v>
      </c>
      <c r="T90" s="147">
        <f t="shared" si="30"/>
        <v>1.27263967584662</v>
      </c>
      <c r="U90" s="112">
        <f>F90-березень!F90</f>
        <v>2000</v>
      </c>
      <c r="V90" s="118">
        <f>G90-березень!G90</f>
        <v>87.5</v>
      </c>
      <c r="W90" s="117">
        <f t="shared" si="34"/>
        <v>-1912.5</v>
      </c>
      <c r="X90" s="147">
        <f>V90/U90</f>
        <v>0.04375</v>
      </c>
      <c r="Y90" s="197">
        <f t="shared" si="16"/>
        <v>0.0005286939144675262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3632.44</v>
      </c>
      <c r="H92" s="129">
        <f t="shared" si="31"/>
        <v>-8196.989</v>
      </c>
      <c r="I92" s="216">
        <f>G92/F92</f>
        <v>0.3070680757287609</v>
      </c>
      <c r="J92" s="131">
        <f t="shared" si="35"/>
        <v>-43173.599</v>
      </c>
      <c r="K92" s="151">
        <f>G92/E92</f>
        <v>0.07760622512834295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2247.88526</v>
      </c>
      <c r="T92" s="147">
        <f t="shared" si="30"/>
        <v>2.6235437971921574</v>
      </c>
      <c r="U92" s="129">
        <f>F92-березень!F92</f>
        <v>3002</v>
      </c>
      <c r="V92" s="174">
        <f>G92-березень!G92</f>
        <v>163.48000000000002</v>
      </c>
      <c r="W92" s="131">
        <f t="shared" si="34"/>
        <v>-2838.52</v>
      </c>
      <c r="X92" s="151">
        <f>V92/U92</f>
        <v>0.054457028647568295</v>
      </c>
      <c r="Y92" s="197">
        <f t="shared" si="16"/>
        <v>0.8511020511230243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1.24</v>
      </c>
      <c r="H93" s="112">
        <f t="shared" si="31"/>
        <v>-9.76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F93-березень!F93</f>
        <v>4</v>
      </c>
      <c r="V93" s="118">
        <f>G93-березень!G93</f>
        <v>0</v>
      </c>
      <c r="W93" s="117">
        <f t="shared" si="34"/>
        <v>-4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2501.51</v>
      </c>
      <c r="H95" s="112">
        <f t="shared" si="31"/>
        <v>-331.9399999999996</v>
      </c>
      <c r="I95" s="213">
        <f>G95/F95</f>
        <v>0.8828495297252468</v>
      </c>
      <c r="J95" s="117">
        <f t="shared" si="35"/>
        <v>-6548.49</v>
      </c>
      <c r="K95" s="147">
        <f>G95/E95</f>
        <v>0.27640994475138125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283.5600000000004</v>
      </c>
      <c r="T95" s="147">
        <f t="shared" si="30"/>
        <v>1.1278477873712214</v>
      </c>
      <c r="U95" s="112">
        <f>F95-березень!F95</f>
        <v>13.699999999999818</v>
      </c>
      <c r="V95" s="118">
        <f>G95-березень!G95</f>
        <v>0.16000000000030923</v>
      </c>
      <c r="W95" s="117">
        <f t="shared" si="34"/>
        <v>-13.539999999999509</v>
      </c>
      <c r="X95" s="147">
        <f>V95/U95</f>
        <v>0.011678832116811047</v>
      </c>
      <c r="Y95" s="197">
        <f t="shared" si="16"/>
        <v>0.001376840363899845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2502.75</v>
      </c>
      <c r="H97" s="129">
        <f t="shared" si="31"/>
        <v>-341.6999999999998</v>
      </c>
      <c r="I97" s="216">
        <f>G97/F97</f>
        <v>0.8798713283763118</v>
      </c>
      <c r="J97" s="131">
        <f t="shared" si="35"/>
        <v>-6590.25</v>
      </c>
      <c r="K97" s="151">
        <f>G97/E97</f>
        <v>0.2752391949851534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275.9899999999998</v>
      </c>
      <c r="T97" s="147">
        <f t="shared" si="30"/>
        <v>1.1239424095995976</v>
      </c>
      <c r="U97" s="129">
        <f>F97-березень!F97</f>
        <v>17.699999999999818</v>
      </c>
      <c r="V97" s="174">
        <f>G97-лютий!G97</f>
        <v>124.49000000000024</v>
      </c>
      <c r="W97" s="131">
        <f t="shared" si="34"/>
        <v>106.79000000000042</v>
      </c>
      <c r="X97" s="151">
        <f>V97/U97</f>
        <v>7.033333333333419</v>
      </c>
      <c r="Y97" s="197">
        <f t="shared" si="16"/>
        <v>-0.000981970689916123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12.91</v>
      </c>
      <c r="H98" s="112">
        <f t="shared" si="31"/>
        <v>-1.08</v>
      </c>
      <c r="I98" s="213">
        <f>G98/F98</f>
        <v>0.9228020014295926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F98-березень!F98</f>
        <v>5.86478</v>
      </c>
      <c r="V98" s="118">
        <f>G98-березень!G98</f>
        <v>0</v>
      </c>
      <c r="W98" s="117">
        <f t="shared" si="34"/>
        <v>-5.86478</v>
      </c>
      <c r="X98" s="147">
        <f>V98/U98</f>
        <v>0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6148.110000000001</v>
      </c>
      <c r="H100" s="184">
        <f>G100-F100</f>
        <v>-8539.759</v>
      </c>
      <c r="I100" s="217">
        <f>G100/F100</f>
        <v>0.41858420714400435</v>
      </c>
      <c r="J100" s="177">
        <f>G100-E100</f>
        <v>-49798.342000000004</v>
      </c>
      <c r="K100" s="178">
        <f>G100/E100</f>
        <v>0.1098927595980528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2494.1000000000004</v>
      </c>
      <c r="T100" s="178">
        <f t="shared" si="30"/>
        <v>1.6825651818139524</v>
      </c>
      <c r="U100" s="183">
        <f>U86+U87+U92+U97+U98</f>
        <v>3025.5647799999997</v>
      </c>
      <c r="V100" s="183">
        <f>V86+V87+V92+V97+V98</f>
        <v>287.97000000000025</v>
      </c>
      <c r="W100" s="177">
        <f>V100-U100</f>
        <v>-2737.5947799999994</v>
      </c>
      <c r="X100" s="178">
        <f>V100/U100</f>
        <v>0.09517892391647959</v>
      </c>
      <c r="Y100" s="197">
        <f>T100-Q100</f>
        <v>0.06382713685849994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391656.92</v>
      </c>
      <c r="H101" s="184">
        <f>G101-F101</f>
        <v>-125322.30900000001</v>
      </c>
      <c r="I101" s="217">
        <f>G101/F101</f>
        <v>0.7575873420632147</v>
      </c>
      <c r="J101" s="177">
        <f>G101-E101</f>
        <v>-1292207.232</v>
      </c>
      <c r="K101" s="178">
        <f>G101/E101</f>
        <v>0.23259413150093594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80573.94999999998</v>
      </c>
      <c r="T101" s="178">
        <f t="shared" si="30"/>
        <v>1.259011124909859</v>
      </c>
      <c r="U101" s="184">
        <f>U79+U100</f>
        <v>133121.36778</v>
      </c>
      <c r="V101" s="184">
        <f>V79+V100</f>
        <v>7175.999999999994</v>
      </c>
      <c r="W101" s="177">
        <f>V101-U101</f>
        <v>-125945.36778</v>
      </c>
      <c r="X101" s="178">
        <f>V101/U101</f>
        <v>0.05390569613031055</v>
      </c>
      <c r="Y101" s="197">
        <f>T101-Q101</f>
        <v>0.08440648258570316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17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6869.561764705882</v>
      </c>
      <c r="H104" s="263"/>
      <c r="I104" s="263"/>
      <c r="J104" s="263"/>
      <c r="V104" s="262">
        <f>IF(W79&lt;0,ABS(W79/C103),0)</f>
        <v>7247.516058823529</v>
      </c>
    </row>
    <row r="105" spans="2:7" ht="30.75">
      <c r="B105" s="264" t="s">
        <v>146</v>
      </c>
      <c r="C105" s="265">
        <v>43193</v>
      </c>
      <c r="D105" s="262"/>
      <c r="E105" s="262">
        <v>3432.1</v>
      </c>
      <c r="F105" s="78"/>
      <c r="G105" s="4" t="s">
        <v>147</v>
      </c>
    </row>
    <row r="106" spans="3:10" ht="15">
      <c r="C106" s="265">
        <v>43192</v>
      </c>
      <c r="D106" s="262"/>
      <c r="E106" s="262">
        <v>3455.9</v>
      </c>
      <c r="F106" s="78"/>
      <c r="G106" s="340"/>
      <c r="H106" s="340"/>
      <c r="I106" s="267"/>
      <c r="J106" s="268"/>
    </row>
    <row r="107" spans="3:10" ht="15">
      <c r="C107" s="265">
        <v>43189</v>
      </c>
      <c r="D107" s="262"/>
      <c r="E107" s="262">
        <v>10196.34</v>
      </c>
      <c r="F107" s="78"/>
      <c r="G107" s="340"/>
      <c r="H107" s="340"/>
      <c r="I107" s="267"/>
      <c r="J107" s="269"/>
    </row>
    <row r="108" spans="3:10" ht="15">
      <c r="C108" s="265"/>
      <c r="D108" s="4"/>
      <c r="F108" s="270"/>
      <c r="G108" s="341"/>
      <c r="H108" s="341"/>
      <c r="I108" s="271"/>
      <c r="J108" s="268"/>
    </row>
    <row r="109" spans="2:10" ht="16.5">
      <c r="B109" s="342" t="s">
        <v>148</v>
      </c>
      <c r="C109" s="343"/>
      <c r="D109" s="272"/>
      <c r="E109" s="314">
        <v>77.8547</v>
      </c>
      <c r="F109" s="273" t="s">
        <v>149</v>
      </c>
      <c r="G109" s="340"/>
      <c r="H109" s="340"/>
      <c r="I109" s="274"/>
      <c r="J109" s="268"/>
    </row>
    <row r="110" spans="2:24" ht="15" hidden="1">
      <c r="B110" s="275" t="s">
        <v>150</v>
      </c>
      <c r="D110" s="270">
        <f>D60+D63+D64</f>
        <v>2095</v>
      </c>
      <c r="E110" s="270">
        <f>E60+E63+E64</f>
        <v>2095</v>
      </c>
      <c r="F110" s="270">
        <f>F60+F63+F64</f>
        <v>645</v>
      </c>
      <c r="G110" s="315">
        <f>G60+G63+G64</f>
        <v>512.83</v>
      </c>
      <c r="H110" s="270">
        <f>H60+H63+H64</f>
        <v>-132.17000000000002</v>
      </c>
      <c r="I110" s="316">
        <f>G110/F110</f>
        <v>0.7950852713178295</v>
      </c>
      <c r="J110" s="270">
        <f>J60+J63+J64</f>
        <v>-1582.17</v>
      </c>
      <c r="K110" s="316">
        <f>G110/E110</f>
        <v>0.2447875894988067</v>
      </c>
      <c r="L110" s="270">
        <f>L60+L63+L64</f>
        <v>0</v>
      </c>
      <c r="M110" s="270">
        <f>M60+M63+M64</f>
        <v>0</v>
      </c>
      <c r="N110" s="270">
        <f>N60+N63+N64</f>
        <v>0</v>
      </c>
      <c r="O110" s="270">
        <f>O60+O63+O64</f>
        <v>1956.6200000000001</v>
      </c>
      <c r="P110" s="270">
        <f>P60+P63+P64</f>
        <v>138.37999999999994</v>
      </c>
      <c r="Q110" s="316">
        <f>E110/O110</f>
        <v>1.0707240036389283</v>
      </c>
      <c r="R110" s="270">
        <f>R60+R63+R64</f>
        <v>440.15</v>
      </c>
      <c r="S110" s="270">
        <f>S60+S63+S64</f>
        <v>72.68000000000002</v>
      </c>
      <c r="T110" s="316">
        <f>G110/R110</f>
        <v>1.165125525389072</v>
      </c>
      <c r="U110" s="270">
        <f>U60+U63+U64</f>
        <v>168</v>
      </c>
      <c r="V110" s="276">
        <f>V60+V63+V64</f>
        <v>22.580000000000013</v>
      </c>
      <c r="W110" s="270">
        <f>W60+W63+W64</f>
        <v>-145.42</v>
      </c>
      <c r="X110" s="316">
        <f>V110/U110</f>
        <v>0.13440476190476197</v>
      </c>
    </row>
    <row r="111" spans="4:9" ht="15" hidden="1">
      <c r="D111" s="260"/>
      <c r="F111" s="78"/>
      <c r="G111" s="4"/>
      <c r="I111" s="262"/>
    </row>
    <row r="112" spans="2:10" ht="15" hidden="1">
      <c r="B112" s="4" t="s">
        <v>162</v>
      </c>
      <c r="D112" s="262">
        <f>D9+D15+D18+D19+D23+D54+D57+D59+D71+D77+D93+D95</f>
        <v>1592543.3</v>
      </c>
      <c r="E112" s="262">
        <f>E9+E15+E18+E19+E23+E54+E57+E59+E71+E77+E93+E95</f>
        <v>1592543.3</v>
      </c>
      <c r="F112" s="262">
        <f>F9+F15+F18+F19+F23+F54+F57+F59+F71+F77+F93+F95</f>
        <v>490787.87</v>
      </c>
      <c r="G112" s="277">
        <f>G9+G15+G18+G19+G23+G54+G57+G59+G71+G77+G93+G95</f>
        <v>374456.63999999996</v>
      </c>
      <c r="H112" s="262">
        <f>H9+H15+H18+H19+H23+H54+H57+H59+H71+H77+H93+H95</f>
        <v>-116331.23000000001</v>
      </c>
      <c r="I112" s="163">
        <f>G112/F112</f>
        <v>0.7629704458669688</v>
      </c>
      <c r="J112" s="262"/>
    </row>
    <row r="113" spans="2:10" ht="15" hidden="1">
      <c r="B113" s="4" t="s">
        <v>163</v>
      </c>
      <c r="D113" s="262">
        <f>D55+D58+D60+D63+D64+D65+D72+D76+D88+D89+D90+D91+D98</f>
        <v>65675.813</v>
      </c>
      <c r="E113" s="262">
        <f>E55+E58+E60+E63+E64+E65+E72+E76+E88+E89+E90+E91+E98</f>
        <v>69036.852</v>
      </c>
      <c r="F113" s="262">
        <f>F55+F58+F60+F63+F64+F65+F72+F76+F88+F89+F90+F91+F98</f>
        <v>18389.719</v>
      </c>
      <c r="G113" s="277">
        <f>G55+G58+G60+G63+G64+G65+G72+G76+G88+G89+G90+G91+G98</f>
        <v>10526.91</v>
      </c>
      <c r="H113" s="262">
        <f>H55+H58+H60+H63+H64+H65+H72+H76+H88+H89+H90+H91+H98</f>
        <v>-7862.808999999999</v>
      </c>
      <c r="I113" s="163">
        <f>G113/F113</f>
        <v>0.5724345217020445</v>
      </c>
      <c r="J113" s="262"/>
    </row>
    <row r="114" spans="2:10" ht="15" hidden="1">
      <c r="B114" s="4" t="s">
        <v>164</v>
      </c>
      <c r="D114" s="262">
        <f>D56+D62+D66+D78</f>
        <v>22284</v>
      </c>
      <c r="E114" s="262">
        <f>E56+E62+E66+E78</f>
        <v>22284</v>
      </c>
      <c r="F114" s="262">
        <f>F56+F62+F66+F78</f>
        <v>7801.64</v>
      </c>
      <c r="G114" s="277">
        <f>G56+G62+G66+G78</f>
        <v>6673.36</v>
      </c>
      <c r="H114" s="262">
        <f>H56+H62+H66+H78</f>
        <v>-1128.2800000000002</v>
      </c>
      <c r="I114" s="163">
        <f>G114/F114</f>
        <v>0.8553791254146563</v>
      </c>
      <c r="J114" s="262"/>
    </row>
    <row r="115" spans="2:10" ht="15" hidden="1">
      <c r="B115" s="311" t="s">
        <v>165</v>
      </c>
      <c r="C115" s="317"/>
      <c r="D115" s="318">
        <f>D112+D113+D114</f>
        <v>1680503.1130000001</v>
      </c>
      <c r="E115" s="318">
        <f>E112+E113+E114</f>
        <v>1683864.152</v>
      </c>
      <c r="F115" s="318">
        <f>F112+F113+F114</f>
        <v>516979.229</v>
      </c>
      <c r="G115" s="319">
        <f>G112+G113+G114</f>
        <v>391656.9099999999</v>
      </c>
      <c r="H115" s="318">
        <f>H112+H113+H114</f>
        <v>-125322.319</v>
      </c>
      <c r="I115" s="320">
        <f>G115/F115</f>
        <v>0.7575873227200777</v>
      </c>
      <c r="J115" s="262"/>
    </row>
    <row r="116" spans="4:10" ht="15" hidden="1">
      <c r="D116" s="262">
        <f>D115-D101</f>
        <v>0</v>
      </c>
      <c r="E116" s="262">
        <f>E115-E101</f>
        <v>0</v>
      </c>
      <c r="F116" s="262">
        <f>F115-F101</f>
        <v>0</v>
      </c>
      <c r="G116" s="277">
        <f>G115-G101</f>
        <v>-0.010000000067520887</v>
      </c>
      <c r="H116" s="262">
        <f>H115-H101</f>
        <v>-0.00999999999476131</v>
      </c>
      <c r="I116" s="163"/>
      <c r="J116" s="262"/>
    </row>
    <row r="117" spans="4:7" ht="15" hidden="1">
      <c r="D117" s="4"/>
      <c r="E117" s="4" t="s">
        <v>147</v>
      </c>
      <c r="F117" s="78"/>
      <c r="G117" s="4"/>
    </row>
    <row r="118" spans="2:7" ht="15" hidden="1">
      <c r="B118" s="266"/>
      <c r="D118" s="4"/>
      <c r="E118" s="262"/>
      <c r="F118" s="78"/>
      <c r="G118" s="4"/>
    </row>
    <row r="119" spans="2:8" ht="15" hidden="1">
      <c r="B119" s="266"/>
      <c r="D119" s="4"/>
      <c r="E119" s="262"/>
      <c r="F119" s="78"/>
      <c r="G119" s="4"/>
      <c r="H119" s="262"/>
    </row>
    <row r="120" spans="4:11" ht="15" hidden="1">
      <c r="D120" s="3"/>
      <c r="F120" s="78"/>
      <c r="G120" s="4"/>
      <c r="H120" s="262"/>
      <c r="I120" s="3"/>
      <c r="K120" s="3"/>
    </row>
    <row r="121" spans="2:12" ht="18" hidden="1">
      <c r="B121" s="83" t="s">
        <v>151</v>
      </c>
      <c r="C121" s="34">
        <v>25000000</v>
      </c>
      <c r="D121" s="125">
        <v>90449.655</v>
      </c>
      <c r="E121" s="333">
        <v>18102.06</v>
      </c>
      <c r="F121" s="333">
        <v>20254.32</v>
      </c>
      <c r="G121" s="334">
        <v>2152.2599999999984</v>
      </c>
      <c r="H121" s="114">
        <f>G121-F121</f>
        <v>-18102.06</v>
      </c>
      <c r="I121" s="147">
        <f aca="true" t="shared" si="36" ref="I121:I128">G121/F121</f>
        <v>0.10626177526572102</v>
      </c>
      <c r="J121" s="117">
        <f>G121-E121</f>
        <v>-15949.800000000003</v>
      </c>
      <c r="K121" s="147">
        <f>G121/E121</f>
        <v>0.1188958604711286</v>
      </c>
      <c r="L121" s="3"/>
    </row>
    <row r="122" spans="2:12" ht="17.25" hidden="1">
      <c r="B122" s="13" t="s">
        <v>30</v>
      </c>
      <c r="C122" s="278"/>
      <c r="D122" s="279">
        <f>D121+D100</f>
        <v>143035.068</v>
      </c>
      <c r="E122" s="279">
        <f>E121+E100</f>
        <v>74048.512</v>
      </c>
      <c r="F122" s="279">
        <f>F121+F100</f>
        <v>34942.189</v>
      </c>
      <c r="G122" s="279">
        <f>G121+G100</f>
        <v>8300.369999999999</v>
      </c>
      <c r="H122" s="279">
        <f>H121+H100</f>
        <v>-26641.819000000003</v>
      </c>
      <c r="I122" s="326">
        <f t="shared" si="36"/>
        <v>0.2375457931384894</v>
      </c>
      <c r="J122" s="279">
        <f>J121+J100</f>
        <v>-65748.142</v>
      </c>
      <c r="K122" s="326">
        <f>G122/F122</f>
        <v>0.2375457931384894</v>
      </c>
      <c r="L122" s="3"/>
    </row>
    <row r="123" spans="2:12" ht="17.25" hidden="1">
      <c r="B123" s="280" t="s">
        <v>152</v>
      </c>
      <c r="C123" s="278"/>
      <c r="D123" s="279">
        <f>D101+D121</f>
        <v>1770952.768</v>
      </c>
      <c r="E123" s="279">
        <f>E101+E121</f>
        <v>1701966.212</v>
      </c>
      <c r="F123" s="279">
        <f>F101+F121</f>
        <v>537233.549</v>
      </c>
      <c r="G123" s="279">
        <f>G101+G121</f>
        <v>393809.18</v>
      </c>
      <c r="H123" s="279">
        <f>H101+H121</f>
        <v>-143424.369</v>
      </c>
      <c r="I123" s="326">
        <f t="shared" si="36"/>
        <v>0.7330316223419621</v>
      </c>
      <c r="J123" s="279">
        <f>J101+J121</f>
        <v>-1308157.0320000001</v>
      </c>
      <c r="K123" s="326">
        <f>G123/F123</f>
        <v>0.7330316223419621</v>
      </c>
      <c r="L123" s="3"/>
    </row>
    <row r="124" spans="2:12" ht="15" hidden="1">
      <c r="B124" s="281" t="s">
        <v>153</v>
      </c>
      <c r="C124" s="282">
        <v>40000000</v>
      </c>
      <c r="D124" s="283">
        <v>1499675.196</v>
      </c>
      <c r="E124" s="283">
        <v>1499675.2</v>
      </c>
      <c r="F124" s="335">
        <v>322086.73</v>
      </c>
      <c r="G124" s="335"/>
      <c r="H124" s="283">
        <f>G124-F124</f>
        <v>-322086.73</v>
      </c>
      <c r="I124" s="327">
        <f t="shared" si="36"/>
        <v>0</v>
      </c>
      <c r="J124" s="29">
        <f>G124-E124</f>
        <v>-1499675.2</v>
      </c>
      <c r="K124" s="327">
        <f>G124/E124</f>
        <v>0</v>
      </c>
      <c r="L124" s="3"/>
    </row>
    <row r="125" spans="2:12" ht="26.25" hidden="1">
      <c r="B125" s="329" t="s">
        <v>169</v>
      </c>
      <c r="C125" s="330">
        <v>41033900</v>
      </c>
      <c r="D125" s="331">
        <v>249086.1</v>
      </c>
      <c r="E125" s="332">
        <v>249086.1</v>
      </c>
      <c r="F125" s="332">
        <v>38359.2</v>
      </c>
      <c r="G125" s="331">
        <v>38359.2</v>
      </c>
      <c r="H125" s="331">
        <f>G125-F125</f>
        <v>0</v>
      </c>
      <c r="I125" s="145">
        <f t="shared" si="36"/>
        <v>1</v>
      </c>
      <c r="J125" s="74">
        <f>G125-E125</f>
        <v>-210726.90000000002</v>
      </c>
      <c r="K125" s="145">
        <f>G125/E125</f>
        <v>0.15399976152824263</v>
      </c>
      <c r="L125" s="3"/>
    </row>
    <row r="126" spans="2:12" ht="26.25" hidden="1">
      <c r="B126" s="329" t="s">
        <v>170</v>
      </c>
      <c r="C126" s="330">
        <v>41034200</v>
      </c>
      <c r="D126" s="331">
        <v>226186</v>
      </c>
      <c r="E126" s="331">
        <v>226186</v>
      </c>
      <c r="F126" s="331">
        <v>44005.9</v>
      </c>
      <c r="G126" s="331">
        <v>44005.9</v>
      </c>
      <c r="H126" s="331">
        <f>G126-F126</f>
        <v>0</v>
      </c>
      <c r="I126" s="145">
        <f t="shared" si="36"/>
        <v>1</v>
      </c>
      <c r="J126" s="74">
        <f>G126-E126</f>
        <v>-182180.1</v>
      </c>
      <c r="K126" s="145">
        <f>G126/E126</f>
        <v>0.19455625016579275</v>
      </c>
      <c r="L126" s="3"/>
    </row>
    <row r="127" spans="2:12" ht="15" hidden="1">
      <c r="B127" s="281" t="s">
        <v>166</v>
      </c>
      <c r="C127" s="282"/>
      <c r="D127" s="283">
        <v>0</v>
      </c>
      <c r="E127" s="283">
        <v>0</v>
      </c>
      <c r="F127" s="283">
        <v>0</v>
      </c>
      <c r="G127" s="283">
        <v>0</v>
      </c>
      <c r="H127" s="283">
        <f>G127-F127</f>
        <v>0</v>
      </c>
      <c r="I127" s="327" t="e">
        <f t="shared" si="36"/>
        <v>#DIV/0!</v>
      </c>
      <c r="J127" s="29">
        <f>G127-E127</f>
        <v>0</v>
      </c>
      <c r="K127" s="327" t="e">
        <f>G127/E127</f>
        <v>#DIV/0!</v>
      </c>
      <c r="L127" s="3"/>
    </row>
    <row r="128" spans="2:12" ht="18" hidden="1">
      <c r="B128" s="284" t="s">
        <v>154</v>
      </c>
      <c r="C128" s="285"/>
      <c r="D128" s="286">
        <f>D123+D124+D127</f>
        <v>3270627.9639999997</v>
      </c>
      <c r="E128" s="286">
        <f aca="true" t="shared" si="37" ref="E128:J128">E123+E124+E127</f>
        <v>3201641.412</v>
      </c>
      <c r="F128" s="286">
        <f t="shared" si="37"/>
        <v>859320.279</v>
      </c>
      <c r="G128" s="286">
        <f t="shared" si="37"/>
        <v>393809.18</v>
      </c>
      <c r="H128" s="286">
        <f t="shared" si="37"/>
        <v>-465511.099</v>
      </c>
      <c r="I128" s="328">
        <f t="shared" si="36"/>
        <v>0.45827986331042936</v>
      </c>
      <c r="J128" s="286">
        <f t="shared" si="37"/>
        <v>-2807832.232</v>
      </c>
      <c r="K128" s="328">
        <f>G128/E128</f>
        <v>0.12300227580889374</v>
      </c>
      <c r="L128" s="3"/>
    </row>
    <row r="129" spans="4:7" ht="15" hidden="1">
      <c r="D129" s="4"/>
      <c r="F129" s="78"/>
      <c r="G129" s="4"/>
    </row>
    <row r="130" spans="4:7" ht="15" hidden="1">
      <c r="D130" s="4"/>
      <c r="F130" s="78"/>
      <c r="G130" s="4"/>
    </row>
    <row r="131" spans="4:7" ht="15" hidden="1">
      <c r="D131" s="262"/>
      <c r="F131" s="78"/>
      <c r="G131" s="4"/>
    </row>
    <row r="132" spans="4:7" ht="15" hidden="1">
      <c r="D132" s="262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2:7" ht="15" hidden="1">
      <c r="B135" s="287" t="s">
        <v>155</v>
      </c>
      <c r="D135" s="4"/>
      <c r="F135" s="78"/>
      <c r="G135" s="4"/>
    </row>
    <row r="136" spans="2:26" ht="30.75" hidden="1">
      <c r="B136" s="288" t="s">
        <v>156</v>
      </c>
      <c r="C136" s="289">
        <v>13010200</v>
      </c>
      <c r="D136" s="290">
        <f>D17</f>
        <v>0</v>
      </c>
      <c r="E136" s="290">
        <f>E17</f>
        <v>0</v>
      </c>
      <c r="F136" s="290">
        <f>F17</f>
        <v>0</v>
      </c>
      <c r="G136" s="290">
        <f>G17</f>
        <v>0</v>
      </c>
      <c r="H136" s="290">
        <f>H17</f>
        <v>0</v>
      </c>
      <c r="I136" s="306">
        <f>I17</f>
        <v>0</v>
      </c>
      <c r="J136" s="290">
        <f>J17</f>
        <v>0</v>
      </c>
      <c r="K136" s="306">
        <f>K17</f>
        <v>0</v>
      </c>
      <c r="L136" s="290">
        <f>L17</f>
        <v>0</v>
      </c>
      <c r="M136" s="290">
        <f>M17</f>
        <v>0</v>
      </c>
      <c r="N136" s="290">
        <f>N17</f>
        <v>0</v>
      </c>
      <c r="O136" s="290">
        <f>O17</f>
        <v>0.49</v>
      </c>
      <c r="P136" s="290">
        <f>P17</f>
        <v>-0.49</v>
      </c>
      <c r="Q136" s="306">
        <f>Q17</f>
        <v>0</v>
      </c>
      <c r="R136" s="290">
        <f>R17</f>
        <v>0</v>
      </c>
      <c r="S136" s="290">
        <f>S17</f>
        <v>0</v>
      </c>
      <c r="T136" s="306" t="e">
        <f>T17</f>
        <v>#DIV/0!</v>
      </c>
      <c r="U136" s="290">
        <f>U17</f>
        <v>0</v>
      </c>
      <c r="V136" s="290">
        <f>V17</f>
        <v>0</v>
      </c>
      <c r="W136" s="290">
        <f>W17</f>
        <v>0</v>
      </c>
      <c r="X136" s="306">
        <f>X17</f>
        <v>0</v>
      </c>
      <c r="Y136" s="325" t="e">
        <f>T136-Q136</f>
        <v>#DIV/0!</v>
      </c>
      <c r="Z136" s="163"/>
    </row>
    <row r="137" spans="2:26" ht="30.75" hidden="1">
      <c r="B137" s="291" t="s">
        <v>157</v>
      </c>
      <c r="C137" s="289">
        <v>13030200</v>
      </c>
      <c r="D137" s="290">
        <f>D18</f>
        <v>235.6</v>
      </c>
      <c r="E137" s="290">
        <f>E18</f>
        <v>235.6</v>
      </c>
      <c r="F137" s="290">
        <f>F18</f>
        <v>120</v>
      </c>
      <c r="G137" s="290">
        <f>G18</f>
        <v>194.24</v>
      </c>
      <c r="H137" s="290">
        <f>H18</f>
        <v>74.24000000000001</v>
      </c>
      <c r="I137" s="306">
        <f>I18</f>
        <v>1.6186666666666667</v>
      </c>
      <c r="J137" s="290">
        <f>J18</f>
        <v>-41.359999999999985</v>
      </c>
      <c r="K137" s="306">
        <f>K18</f>
        <v>82.44482173174873</v>
      </c>
      <c r="L137" s="290">
        <f>L18</f>
        <v>0</v>
      </c>
      <c r="M137" s="290">
        <f>M18</f>
        <v>0</v>
      </c>
      <c r="N137" s="290">
        <f>N18</f>
        <v>0</v>
      </c>
      <c r="O137" s="290">
        <f>O18</f>
        <v>220.59</v>
      </c>
      <c r="P137" s="290">
        <f>P18</f>
        <v>15.009999999999991</v>
      </c>
      <c r="Q137" s="306">
        <f>Q18</f>
        <v>1.0680447889750215</v>
      </c>
      <c r="R137" s="290">
        <f>R18</f>
        <v>118.46</v>
      </c>
      <c r="S137" s="290">
        <f>S18</f>
        <v>75.78000000000002</v>
      </c>
      <c r="T137" s="306">
        <f>T18</f>
        <v>1.639709606618268</v>
      </c>
      <c r="U137" s="290">
        <f>U18</f>
        <v>0</v>
      </c>
      <c r="V137" s="290">
        <f>V18</f>
        <v>0</v>
      </c>
      <c r="W137" s="290">
        <f>W18</f>
        <v>0</v>
      </c>
      <c r="X137" s="306" t="e">
        <f>X18</f>
        <v>#DIV/0!</v>
      </c>
      <c r="Y137" s="325">
        <f aca="true" t="shared" si="38" ref="Y137:Y159">T137-Q137</f>
        <v>0.5716648176432464</v>
      </c>
      <c r="Z137" s="163"/>
    </row>
    <row r="138" spans="2:26" ht="15" hidden="1">
      <c r="B138" s="292" t="s">
        <v>51</v>
      </c>
      <c r="C138" s="293">
        <v>21080500</v>
      </c>
      <c r="D138" s="294">
        <f>D56</f>
        <v>158</v>
      </c>
      <c r="E138" s="294">
        <f>E56</f>
        <v>158</v>
      </c>
      <c r="F138" s="294">
        <f>F56</f>
        <v>42</v>
      </c>
      <c r="G138" s="294">
        <f>G56</f>
        <v>51.82</v>
      </c>
      <c r="H138" s="294">
        <f>H56</f>
        <v>9.82</v>
      </c>
      <c r="I138" s="321">
        <f>I56</f>
        <v>1.233809523809524</v>
      </c>
      <c r="J138" s="294">
        <f>J56</f>
        <v>-106.18</v>
      </c>
      <c r="K138" s="321">
        <f>K56</f>
        <v>0.3279746835443038</v>
      </c>
      <c r="L138" s="294">
        <f>L56</f>
        <v>0</v>
      </c>
      <c r="M138" s="294">
        <f>M56</f>
        <v>0</v>
      </c>
      <c r="N138" s="294">
        <f>N56</f>
        <v>0</v>
      </c>
      <c r="O138" s="294">
        <f>O56</f>
        <v>153.3</v>
      </c>
      <c r="P138" s="294">
        <f>P56</f>
        <v>4.699999999999989</v>
      </c>
      <c r="Q138" s="321">
        <f>Q56</f>
        <v>1.030658838878017</v>
      </c>
      <c r="R138" s="294">
        <f>R56</f>
        <v>72.08</v>
      </c>
      <c r="S138" s="294">
        <f>S56</f>
        <v>-20.259999999999998</v>
      </c>
      <c r="T138" s="321">
        <f>T56</f>
        <v>0.7189234184239733</v>
      </c>
      <c r="U138" s="294">
        <f>U56</f>
        <v>14</v>
      </c>
      <c r="V138" s="294">
        <f>V56</f>
        <v>0</v>
      </c>
      <c r="W138" s="294">
        <f>W56</f>
        <v>-14</v>
      </c>
      <c r="X138" s="306">
        <f>X56</f>
        <v>0</v>
      </c>
      <c r="Y138" s="325">
        <f t="shared" si="38"/>
        <v>-0.31173542045404357</v>
      </c>
      <c r="Z138" s="163"/>
    </row>
    <row r="139" spans="2:26" ht="30.75" hidden="1">
      <c r="B139" s="295" t="s">
        <v>34</v>
      </c>
      <c r="C139" s="296">
        <v>21080900</v>
      </c>
      <c r="D139" s="297">
        <f>D57</f>
        <v>13</v>
      </c>
      <c r="E139" s="297">
        <f>E57</f>
        <v>13</v>
      </c>
      <c r="F139" s="297">
        <f>F57</f>
        <v>5</v>
      </c>
      <c r="G139" s="297">
        <f>G57</f>
        <v>2.02</v>
      </c>
      <c r="H139" s="297">
        <f>H57</f>
        <v>-2.98</v>
      </c>
      <c r="I139" s="322">
        <f>I57</f>
        <v>0.404</v>
      </c>
      <c r="J139" s="297">
        <f>J57</f>
        <v>-10.98</v>
      </c>
      <c r="K139" s="322">
        <f>K57</f>
        <v>0.1553846153846154</v>
      </c>
      <c r="L139" s="297">
        <f>L57</f>
        <v>0</v>
      </c>
      <c r="M139" s="297">
        <f>M57</f>
        <v>0</v>
      </c>
      <c r="N139" s="297">
        <f>N57</f>
        <v>0</v>
      </c>
      <c r="O139" s="297">
        <f>O57</f>
        <v>12.95</v>
      </c>
      <c r="P139" s="297">
        <f>P57</f>
        <v>0.05000000000000071</v>
      </c>
      <c r="Q139" s="322">
        <f>Q57</f>
        <v>1.0038610038610039</v>
      </c>
      <c r="R139" s="297">
        <f>R57</f>
        <v>2.03</v>
      </c>
      <c r="S139" s="297">
        <f>S57</f>
        <v>-0.009999999999999787</v>
      </c>
      <c r="T139" s="322">
        <f>T57</f>
        <v>0</v>
      </c>
      <c r="U139" s="297">
        <f>U57</f>
        <v>1</v>
      </c>
      <c r="V139" s="297">
        <f>V57</f>
        <v>0</v>
      </c>
      <c r="W139" s="297">
        <f>W57</f>
        <v>-1</v>
      </c>
      <c r="X139" s="324">
        <f>X57</f>
        <v>0</v>
      </c>
      <c r="Y139" s="325">
        <f t="shared" si="38"/>
        <v>-1.0038610038610039</v>
      </c>
      <c r="Z139" s="163"/>
    </row>
    <row r="140" spans="2:26" ht="15" hidden="1">
      <c r="B140" s="291" t="s">
        <v>16</v>
      </c>
      <c r="C140" s="289">
        <v>21081100</v>
      </c>
      <c r="D140" s="290">
        <f>D58</f>
        <v>744</v>
      </c>
      <c r="E140" s="290">
        <f>E58</f>
        <v>744</v>
      </c>
      <c r="F140" s="290">
        <f>F58</f>
        <v>208.43</v>
      </c>
      <c r="G140" s="290">
        <f>G58</f>
        <v>226.74</v>
      </c>
      <c r="H140" s="290">
        <f>H58</f>
        <v>18.310000000000002</v>
      </c>
      <c r="I140" s="306">
        <f>I58</f>
        <v>1.087847238881159</v>
      </c>
      <c r="J140" s="290">
        <f>J58</f>
        <v>-517.26</v>
      </c>
      <c r="K140" s="306">
        <f>K58</f>
        <v>0.304758064516129</v>
      </c>
      <c r="L140" s="290">
        <f>L58</f>
        <v>0</v>
      </c>
      <c r="M140" s="290">
        <f>M58</f>
        <v>0</v>
      </c>
      <c r="N140" s="290">
        <f>N58</f>
        <v>0</v>
      </c>
      <c r="O140" s="290">
        <f>O58</f>
        <v>705.31</v>
      </c>
      <c r="P140" s="290">
        <f>P58</f>
        <v>38.690000000000055</v>
      </c>
      <c r="Q140" s="306">
        <f>Q58</f>
        <v>1.0548553118486907</v>
      </c>
      <c r="R140" s="290">
        <f>R58</f>
        <v>277.76</v>
      </c>
      <c r="S140" s="290">
        <f>S58</f>
        <v>-51.01999999999998</v>
      </c>
      <c r="T140" s="306">
        <f>T58</f>
        <v>0.8163162442396314</v>
      </c>
      <c r="U140" s="290">
        <f>U58</f>
        <v>60</v>
      </c>
      <c r="V140" s="290">
        <f>V58</f>
        <v>2.1500000000000057</v>
      </c>
      <c r="W140" s="290">
        <f>W58</f>
        <v>-57.849999999999994</v>
      </c>
      <c r="X140" s="306">
        <f>X58</f>
        <v>0.035833333333333425</v>
      </c>
      <c r="Y140" s="325">
        <f t="shared" si="38"/>
        <v>-0.2385390676090593</v>
      </c>
      <c r="Z140" s="163"/>
    </row>
    <row r="141" spans="2:26" ht="46.5" hidden="1">
      <c r="B141" s="291" t="s">
        <v>67</v>
      </c>
      <c r="C141" s="289">
        <v>21081500</v>
      </c>
      <c r="D141" s="290">
        <f>D59</f>
        <v>115.5</v>
      </c>
      <c r="E141" s="290">
        <f>E59</f>
        <v>115.5</v>
      </c>
      <c r="F141" s="290">
        <f>F59</f>
        <v>30</v>
      </c>
      <c r="G141" s="290">
        <f>G59</f>
        <v>8.62</v>
      </c>
      <c r="H141" s="290">
        <f>H59</f>
        <v>-21.380000000000003</v>
      </c>
      <c r="I141" s="306">
        <f>I59</f>
        <v>0.28733333333333333</v>
      </c>
      <c r="J141" s="290">
        <f>J59</f>
        <v>-106.88</v>
      </c>
      <c r="K141" s="306">
        <f>K59</f>
        <v>0.07463203463203462</v>
      </c>
      <c r="L141" s="290">
        <f>L59</f>
        <v>0</v>
      </c>
      <c r="M141" s="290">
        <f>M59</f>
        <v>0</v>
      </c>
      <c r="N141" s="290">
        <f>N59</f>
        <v>0</v>
      </c>
      <c r="O141" s="290">
        <f>O59</f>
        <v>114.3</v>
      </c>
      <c r="P141" s="290">
        <f>P59</f>
        <v>1.2000000000000028</v>
      </c>
      <c r="Q141" s="306">
        <f>Q59</f>
        <v>1.010498687664042</v>
      </c>
      <c r="R141" s="290">
        <f>R59</f>
        <v>0.51</v>
      </c>
      <c r="S141" s="290">
        <f>S59</f>
        <v>8.11</v>
      </c>
      <c r="T141" s="306">
        <f>T59</f>
        <v>16.901960784313722</v>
      </c>
      <c r="U141" s="290">
        <f>U59</f>
        <v>10</v>
      </c>
      <c r="V141" s="290">
        <f>V59</f>
        <v>0</v>
      </c>
      <c r="W141" s="290">
        <f>W59</f>
        <v>-10</v>
      </c>
      <c r="X141" s="306">
        <f>X59</f>
        <v>0</v>
      </c>
      <c r="Y141" s="325">
        <f t="shared" si="38"/>
        <v>15.891462096649681</v>
      </c>
      <c r="Z141" s="163"/>
    </row>
    <row r="142" spans="2:26" ht="46.5" hidden="1">
      <c r="B142" s="291" t="s">
        <v>17</v>
      </c>
      <c r="C142" s="289" t="s">
        <v>18</v>
      </c>
      <c r="D142" s="290">
        <f>D71</f>
        <v>3</v>
      </c>
      <c r="E142" s="290">
        <f>E71</f>
        <v>3</v>
      </c>
      <c r="F142" s="290">
        <f>F71</f>
        <v>1.5</v>
      </c>
      <c r="G142" s="290">
        <f>G71</f>
        <v>0</v>
      </c>
      <c r="H142" s="290">
        <f>H71</f>
        <v>-1.5</v>
      </c>
      <c r="I142" s="306">
        <f>I71</f>
        <v>0</v>
      </c>
      <c r="J142" s="290">
        <f>J71</f>
        <v>-3</v>
      </c>
      <c r="K142" s="306">
        <f>K71</f>
        <v>0</v>
      </c>
      <c r="L142" s="290">
        <f>L71</f>
        <v>0</v>
      </c>
      <c r="M142" s="290">
        <f>M71</f>
        <v>0</v>
      </c>
      <c r="N142" s="290">
        <f>N71</f>
        <v>0</v>
      </c>
      <c r="O142" s="290">
        <f>O71</f>
        <v>2.04</v>
      </c>
      <c r="P142" s="290">
        <f>P71</f>
        <v>0.96</v>
      </c>
      <c r="Q142" s="306">
        <f>Q71</f>
        <v>1.4705882352941175</v>
      </c>
      <c r="R142" s="290">
        <f>R71</f>
        <v>2.04</v>
      </c>
      <c r="S142" s="290">
        <f>S71</f>
        <v>-2.04</v>
      </c>
      <c r="T142" s="306">
        <f>T71</f>
        <v>0</v>
      </c>
      <c r="U142" s="290">
        <f>U71</f>
        <v>0</v>
      </c>
      <c r="V142" s="290">
        <f>V71</f>
        <v>0</v>
      </c>
      <c r="W142" s="290">
        <f>W71</f>
        <v>0</v>
      </c>
      <c r="X142" s="306">
        <f>X71</f>
        <v>0</v>
      </c>
      <c r="Y142" s="325">
        <f t="shared" si="38"/>
        <v>-1.4705882352941175</v>
      </c>
      <c r="Z142" s="163"/>
    </row>
    <row r="143" spans="2:26" ht="30.75" hidden="1">
      <c r="B143" s="298" t="s">
        <v>39</v>
      </c>
      <c r="C143" s="289">
        <v>31010200</v>
      </c>
      <c r="D143" s="299">
        <f>D77</f>
        <v>35</v>
      </c>
      <c r="E143" s="299">
        <f>E77</f>
        <v>35</v>
      </c>
      <c r="F143" s="299">
        <f>F77</f>
        <v>12.47</v>
      </c>
      <c r="G143" s="299">
        <f>G77</f>
        <v>4.74</v>
      </c>
      <c r="H143" s="299">
        <f>H77</f>
        <v>-7.73</v>
      </c>
      <c r="I143" s="323">
        <f>I77</f>
        <v>0.38011226944667204</v>
      </c>
      <c r="J143" s="299">
        <f>J77</f>
        <v>-30.259999999999998</v>
      </c>
      <c r="K143" s="323">
        <f>K77</f>
        <v>0.13542857142857143</v>
      </c>
      <c r="L143" s="299">
        <f>L77</f>
        <v>0</v>
      </c>
      <c r="M143" s="299">
        <f>M77</f>
        <v>0</v>
      </c>
      <c r="N143" s="299">
        <f>N77</f>
        <v>0</v>
      </c>
      <c r="O143" s="299">
        <f>O77</f>
        <v>34.22</v>
      </c>
      <c r="P143" s="299">
        <f>P77</f>
        <v>0.7800000000000011</v>
      </c>
      <c r="Q143" s="323">
        <f>Q77</f>
        <v>1.0227936879018118</v>
      </c>
      <c r="R143" s="299">
        <f>R77</f>
        <v>14.27</v>
      </c>
      <c r="S143" s="299">
        <f>S77</f>
        <v>-9.53</v>
      </c>
      <c r="T143" s="323">
        <f>T77</f>
        <v>0.33216538192011213</v>
      </c>
      <c r="U143" s="299">
        <f>U77</f>
        <v>2.9000000000000004</v>
      </c>
      <c r="V143" s="299">
        <f>V77</f>
        <v>0</v>
      </c>
      <c r="W143" s="299">
        <f>W77</f>
        <v>-2.9000000000000004</v>
      </c>
      <c r="X143" s="323">
        <f>X77</f>
        <v>0</v>
      </c>
      <c r="Y143" s="325">
        <f t="shared" si="38"/>
        <v>-0.6906283059816997</v>
      </c>
      <c r="Z143" s="163"/>
    </row>
    <row r="144" spans="2:26" ht="30.75" hidden="1">
      <c r="B144" s="298" t="s">
        <v>49</v>
      </c>
      <c r="C144" s="289">
        <v>31020000</v>
      </c>
      <c r="D144" s="299">
        <f>D78</f>
        <v>0</v>
      </c>
      <c r="E144" s="299">
        <f>E78</f>
        <v>0</v>
      </c>
      <c r="F144" s="299">
        <f>F78</f>
        <v>0</v>
      </c>
      <c r="G144" s="299">
        <f>G78</f>
        <v>0.45</v>
      </c>
      <c r="H144" s="299">
        <f>H78</f>
        <v>0.45</v>
      </c>
      <c r="I144" s="323" t="e">
        <f>I78</f>
        <v>#DIV/0!</v>
      </c>
      <c r="J144" s="299">
        <f>J78</f>
        <v>0.45</v>
      </c>
      <c r="K144" s="323">
        <f>K78</f>
        <v>0</v>
      </c>
      <c r="L144" s="299">
        <f>L78</f>
        <v>0</v>
      </c>
      <c r="M144" s="299">
        <f>M78</f>
        <v>0</v>
      </c>
      <c r="N144" s="299">
        <f>N78</f>
        <v>0</v>
      </c>
      <c r="O144" s="299">
        <f>O78</f>
        <v>-4.86</v>
      </c>
      <c r="P144" s="299">
        <f>P78</f>
        <v>4.86</v>
      </c>
      <c r="Q144" s="323">
        <f>Q78</f>
        <v>0</v>
      </c>
      <c r="R144" s="299">
        <f>R78</f>
        <v>-5.33</v>
      </c>
      <c r="S144" s="299">
        <f>S78</f>
        <v>5.78</v>
      </c>
      <c r="T144" s="323">
        <f>T78</f>
        <v>-0.08442776735459663</v>
      </c>
      <c r="U144" s="299">
        <f>U78</f>
        <v>0</v>
      </c>
      <c r="V144" s="299">
        <f>V78</f>
        <v>0</v>
      </c>
      <c r="W144" s="299">
        <f>W78</f>
        <v>0</v>
      </c>
      <c r="X144" s="323">
        <f>X78</f>
        <v>0</v>
      </c>
      <c r="Y144" s="325">
        <f t="shared" si="38"/>
        <v>-0.08442776735459663</v>
      </c>
      <c r="Z144" s="163"/>
    </row>
    <row r="145" spans="4:26" ht="15" hidden="1">
      <c r="D145" s="302">
        <f>SUM(D136:D144)</f>
        <v>1304.1</v>
      </c>
      <c r="E145" s="302">
        <f>SUM(E136:E144)</f>
        <v>1304.1</v>
      </c>
      <c r="F145" s="302">
        <f>SUM(F136:F144)</f>
        <v>419.40000000000003</v>
      </c>
      <c r="G145" s="302">
        <f>SUM(G136:G144)</f>
        <v>488.63000000000005</v>
      </c>
      <c r="H145" s="302">
        <f>SUM(H136:H144)</f>
        <v>69.22999999999999</v>
      </c>
      <c r="I145" s="189">
        <f>G145/F145</f>
        <v>1.1650691463996186</v>
      </c>
      <c r="J145" s="302">
        <f>G145-E145</f>
        <v>-815.4699999999998</v>
      </c>
      <c r="K145" s="320">
        <f>G145/E145</f>
        <v>0.37468752396288635</v>
      </c>
      <c r="O145" s="302">
        <f>SUM(O136:O144)</f>
        <v>1238.34</v>
      </c>
      <c r="P145" s="302">
        <f>SUM(P136:P144)</f>
        <v>65.76000000000005</v>
      </c>
      <c r="Q145" s="189">
        <f>E145/O145</f>
        <v>1.053103348030428</v>
      </c>
      <c r="R145" s="302">
        <f>SUM(R136:R144)</f>
        <v>481.82</v>
      </c>
      <c r="S145" s="302">
        <f>SUM(S136:S144)</f>
        <v>6.810000000000039</v>
      </c>
      <c r="T145" s="189">
        <f>G145/R145</f>
        <v>1.0141339089286456</v>
      </c>
      <c r="U145" s="302">
        <f>SUM(U136:U144)</f>
        <v>87.9</v>
      </c>
      <c r="V145" s="302">
        <f>SUM(V136:V144)</f>
        <v>2.1500000000000057</v>
      </c>
      <c r="W145" s="302">
        <f>SUM(W136:W144)</f>
        <v>-85.75</v>
      </c>
      <c r="X145" s="189">
        <f>V145/U145</f>
        <v>0.024459613196814625</v>
      </c>
      <c r="Y145" s="189">
        <f t="shared" si="38"/>
        <v>-0.0389694391017823</v>
      </c>
      <c r="Z145" s="163"/>
    </row>
    <row r="146" spans="4:25" ht="15" hidden="1">
      <c r="D146" s="4"/>
      <c r="F146" s="78"/>
      <c r="G146" s="4"/>
      <c r="Y146" s="189"/>
    </row>
    <row r="147" spans="2:25" ht="15" hidden="1">
      <c r="B147" s="303" t="s">
        <v>158</v>
      </c>
      <c r="D147" s="4"/>
      <c r="F147" s="78"/>
      <c r="G147" s="4"/>
      <c r="Y147" s="189"/>
    </row>
    <row r="148" spans="2:25" ht="30.75" hidden="1">
      <c r="B148" s="304" t="s">
        <v>89</v>
      </c>
      <c r="C148" s="305">
        <v>22010300</v>
      </c>
      <c r="D148" s="290">
        <f>D60</f>
        <v>1284</v>
      </c>
      <c r="E148" s="290">
        <f>E60</f>
        <v>1284</v>
      </c>
      <c r="F148" s="290">
        <f>F60</f>
        <v>384</v>
      </c>
      <c r="G148" s="290">
        <f>G60</f>
        <v>290.57</v>
      </c>
      <c r="H148" s="290">
        <f>H60</f>
        <v>-93.43</v>
      </c>
      <c r="I148" s="306">
        <f>I60</f>
        <v>0.7566927083333334</v>
      </c>
      <c r="J148" s="290">
        <f>J60</f>
        <v>-993.4300000000001</v>
      </c>
      <c r="K148" s="306">
        <f>K60</f>
        <v>0.2263006230529595</v>
      </c>
      <c r="L148" s="290">
        <f>L60</f>
        <v>0</v>
      </c>
      <c r="M148" s="290">
        <f>M60</f>
        <v>0</v>
      </c>
      <c r="N148" s="290">
        <f>N60</f>
        <v>0</v>
      </c>
      <c r="O148" s="290">
        <f>O60</f>
        <v>1205.14</v>
      </c>
      <c r="P148" s="290">
        <f>P60</f>
        <v>78.8599999999999</v>
      </c>
      <c r="Q148" s="306">
        <f>Q60</f>
        <v>1.0654363808354215</v>
      </c>
      <c r="R148" s="290">
        <f>R60</f>
        <v>300.95</v>
      </c>
      <c r="S148" s="290">
        <f>S60</f>
        <v>-10.379999999999995</v>
      </c>
      <c r="T148" s="306">
        <f>T60</f>
        <v>0.9655092208007975</v>
      </c>
      <c r="U148" s="290">
        <f>U60</f>
        <v>100</v>
      </c>
      <c r="V148" s="290">
        <f>V60</f>
        <v>10.240000000000009</v>
      </c>
      <c r="W148" s="290">
        <f>W60</f>
        <v>-89.75999999999999</v>
      </c>
      <c r="X148" s="306">
        <f>X60</f>
        <v>0.10240000000000009</v>
      </c>
      <c r="Y148" s="325">
        <f t="shared" si="38"/>
        <v>-0.09992716003462399</v>
      </c>
    </row>
    <row r="149" spans="2:25" ht="15" hidden="1">
      <c r="B149" s="304" t="s">
        <v>106</v>
      </c>
      <c r="C149" s="305">
        <v>22010200</v>
      </c>
      <c r="D149" s="290">
        <f>D61</f>
        <v>0</v>
      </c>
      <c r="E149" s="290">
        <f>E61</f>
        <v>0</v>
      </c>
      <c r="F149" s="290">
        <f>F61</f>
        <v>0</v>
      </c>
      <c r="G149" s="290">
        <f>G61</f>
        <v>0</v>
      </c>
      <c r="H149" s="290">
        <f>H61</f>
        <v>0</v>
      </c>
      <c r="I149" s="306" t="e">
        <f>I61</f>
        <v>#DIV/0!</v>
      </c>
      <c r="J149" s="290">
        <f>J61</f>
        <v>0</v>
      </c>
      <c r="K149" s="306" t="e">
        <f>K61</f>
        <v>#DIV/0!</v>
      </c>
      <c r="L149" s="290">
        <f>L61</f>
        <v>0</v>
      </c>
      <c r="M149" s="290">
        <f>M61</f>
        <v>0</v>
      </c>
      <c r="N149" s="290">
        <f>N61</f>
        <v>0</v>
      </c>
      <c r="O149" s="290">
        <f>O61</f>
        <v>23.38</v>
      </c>
      <c r="P149" s="290">
        <f>P61</f>
        <v>-23.38</v>
      </c>
      <c r="Q149" s="306">
        <f>Q61</f>
        <v>0</v>
      </c>
      <c r="R149" s="290">
        <f>R61</f>
        <v>0</v>
      </c>
      <c r="S149" s="290">
        <f>S61</f>
        <v>0</v>
      </c>
      <c r="T149" s="306">
        <f>T61</f>
        <v>0</v>
      </c>
      <c r="U149" s="290">
        <f>U61</f>
        <v>0</v>
      </c>
      <c r="V149" s="290">
        <f>V61</f>
        <v>0</v>
      </c>
      <c r="W149" s="290">
        <f>W61</f>
        <v>0</v>
      </c>
      <c r="X149" s="306" t="e">
        <f>X61</f>
        <v>#DIV/0!</v>
      </c>
      <c r="Y149" s="325">
        <f t="shared" si="38"/>
        <v>0</v>
      </c>
    </row>
    <row r="150" spans="2:25" ht="15" hidden="1">
      <c r="B150" s="307" t="s">
        <v>65</v>
      </c>
      <c r="C150" s="308">
        <v>22012500</v>
      </c>
      <c r="D150" s="309">
        <f>D62</f>
        <v>21260</v>
      </c>
      <c r="E150" s="309">
        <f>E62</f>
        <v>21260</v>
      </c>
      <c r="F150" s="309">
        <f>F62</f>
        <v>7490</v>
      </c>
      <c r="G150" s="309">
        <f>G62</f>
        <v>6458.07</v>
      </c>
      <c r="H150" s="309">
        <f>H62</f>
        <v>-1031.9300000000003</v>
      </c>
      <c r="I150" s="310">
        <f>I62</f>
        <v>0.8622256341789052</v>
      </c>
      <c r="J150" s="309">
        <f>J62</f>
        <v>-14801.93</v>
      </c>
      <c r="K150" s="310">
        <f>K62</f>
        <v>0.3037662276575729</v>
      </c>
      <c r="L150" s="309">
        <f>L62</f>
        <v>0</v>
      </c>
      <c r="M150" s="309">
        <f>M62</f>
        <v>0</v>
      </c>
      <c r="N150" s="309">
        <f>N62</f>
        <v>0</v>
      </c>
      <c r="O150" s="309">
        <f>O62</f>
        <v>20110.14</v>
      </c>
      <c r="P150" s="309">
        <f>P62</f>
        <v>1149.8600000000006</v>
      </c>
      <c r="Q150" s="310">
        <f>Q62</f>
        <v>1.0571781200926498</v>
      </c>
      <c r="R150" s="309">
        <f>R62</f>
        <v>3584.94</v>
      </c>
      <c r="S150" s="309">
        <f>S62</f>
        <v>2873.1299999999997</v>
      </c>
      <c r="T150" s="310">
        <f>T62</f>
        <v>1.8014443756380858</v>
      </c>
      <c r="U150" s="309">
        <f>U62</f>
        <v>1800</v>
      </c>
      <c r="V150" s="309">
        <f>V62</f>
        <v>256.1300000000001</v>
      </c>
      <c r="W150" s="309">
        <f>W62</f>
        <v>-1543.87</v>
      </c>
      <c r="X150" s="310">
        <f>X62</f>
        <v>0.1422944444444445</v>
      </c>
      <c r="Y150" s="325">
        <f t="shared" si="38"/>
        <v>0.744266255545436</v>
      </c>
    </row>
    <row r="151" spans="2:25" ht="30.75" hidden="1">
      <c r="B151" s="307" t="s">
        <v>86</v>
      </c>
      <c r="C151" s="308">
        <v>22012600</v>
      </c>
      <c r="D151" s="309">
        <f>D63</f>
        <v>767</v>
      </c>
      <c r="E151" s="309">
        <f>E63</f>
        <v>767</v>
      </c>
      <c r="F151" s="309">
        <f>F63</f>
        <v>249</v>
      </c>
      <c r="G151" s="309">
        <f>G63</f>
        <v>214.5</v>
      </c>
      <c r="H151" s="309">
        <f>H63</f>
        <v>-34.5</v>
      </c>
      <c r="I151" s="310">
        <f>I63</f>
        <v>0.8614457831325302</v>
      </c>
      <c r="J151" s="309">
        <f>J63</f>
        <v>-552.5</v>
      </c>
      <c r="K151" s="310">
        <f>K63</f>
        <v>0.2796610169491525</v>
      </c>
      <c r="L151" s="309">
        <f>L63</f>
        <v>0</v>
      </c>
      <c r="M151" s="309">
        <f>M63</f>
        <v>0</v>
      </c>
      <c r="N151" s="309">
        <f>N63</f>
        <v>0</v>
      </c>
      <c r="O151" s="309">
        <f>O63</f>
        <v>710.04</v>
      </c>
      <c r="P151" s="309">
        <f>P63</f>
        <v>56.960000000000036</v>
      </c>
      <c r="Q151" s="310">
        <f>Q63</f>
        <v>1.0802208326291478</v>
      </c>
      <c r="R151" s="309">
        <f>R63</f>
        <v>135.2</v>
      </c>
      <c r="S151" s="309">
        <f>S63</f>
        <v>79.30000000000001</v>
      </c>
      <c r="T151" s="310">
        <f>T63</f>
        <v>1.5865384615384617</v>
      </c>
      <c r="U151" s="309">
        <f>U63</f>
        <v>64</v>
      </c>
      <c r="V151" s="309">
        <f>V63</f>
        <v>12.340000000000003</v>
      </c>
      <c r="W151" s="309">
        <f>W63</f>
        <v>-51.66</v>
      </c>
      <c r="X151" s="310">
        <f>X63</f>
        <v>0.19281250000000005</v>
      </c>
      <c r="Y151" s="325">
        <f t="shared" si="38"/>
        <v>0.5063176289093139</v>
      </c>
    </row>
    <row r="152" spans="2:25" ht="30.75" hidden="1">
      <c r="B152" s="307" t="s">
        <v>90</v>
      </c>
      <c r="C152" s="308">
        <v>22012900</v>
      </c>
      <c r="D152" s="309">
        <f>D64</f>
        <v>44</v>
      </c>
      <c r="E152" s="309">
        <f>E64</f>
        <v>44</v>
      </c>
      <c r="F152" s="309">
        <f>F64</f>
        <v>12</v>
      </c>
      <c r="G152" s="309">
        <f>G64</f>
        <v>7.76</v>
      </c>
      <c r="H152" s="309">
        <f>H64</f>
        <v>-4.24</v>
      </c>
      <c r="I152" s="310">
        <f>I64</f>
        <v>0.6466666666666666</v>
      </c>
      <c r="J152" s="309">
        <f>J64</f>
        <v>-36.24</v>
      </c>
      <c r="K152" s="310">
        <f>K64</f>
        <v>0.17636363636363636</v>
      </c>
      <c r="L152" s="309">
        <f>L64</f>
        <v>0</v>
      </c>
      <c r="M152" s="309">
        <f>M64</f>
        <v>0</v>
      </c>
      <c r="N152" s="309">
        <f>N64</f>
        <v>0</v>
      </c>
      <c r="O152" s="309">
        <f>O64</f>
        <v>41.44</v>
      </c>
      <c r="P152" s="309">
        <f>P64</f>
        <v>2.5600000000000023</v>
      </c>
      <c r="Q152" s="310">
        <f>Q64</f>
        <v>1.0617760617760619</v>
      </c>
      <c r="R152" s="309">
        <f>R64</f>
        <v>4</v>
      </c>
      <c r="S152" s="309">
        <f>S64</f>
        <v>3.76</v>
      </c>
      <c r="T152" s="310">
        <f>T64</f>
        <v>1.94</v>
      </c>
      <c r="U152" s="309">
        <f>U64</f>
        <v>4</v>
      </c>
      <c r="V152" s="309">
        <f>V64</f>
        <v>0</v>
      </c>
      <c r="W152" s="309">
        <f>W64</f>
        <v>-4</v>
      </c>
      <c r="X152" s="310">
        <f>X64</f>
        <v>0</v>
      </c>
      <c r="Y152" s="325">
        <f t="shared" si="38"/>
        <v>0.8782239382239381</v>
      </c>
    </row>
    <row r="153" spans="2:25" ht="15" hidden="1">
      <c r="B153" s="303" t="s">
        <v>158</v>
      </c>
      <c r="C153" s="311">
        <v>22010000</v>
      </c>
      <c r="D153" s="302">
        <f>SUM(D148:D152)</f>
        <v>23355</v>
      </c>
      <c r="E153" s="302">
        <f aca="true" t="shared" si="39" ref="E153:W153">SUM(E148:E152)</f>
        <v>23355</v>
      </c>
      <c r="F153" s="302">
        <f t="shared" si="39"/>
        <v>8135</v>
      </c>
      <c r="G153" s="302">
        <f t="shared" si="39"/>
        <v>6970.9</v>
      </c>
      <c r="H153" s="302">
        <f t="shared" si="39"/>
        <v>-1164.1000000000004</v>
      </c>
      <c r="I153" s="189">
        <f>G153/F153</f>
        <v>0.8569022741241549</v>
      </c>
      <c r="J153" s="302">
        <f t="shared" si="39"/>
        <v>-16384.100000000002</v>
      </c>
      <c r="K153" s="189">
        <f>G153/E153</f>
        <v>0.29847570113466065</v>
      </c>
      <c r="L153" s="302">
        <f t="shared" si="39"/>
        <v>0</v>
      </c>
      <c r="M153" s="302">
        <f t="shared" si="39"/>
        <v>0</v>
      </c>
      <c r="N153" s="302">
        <f t="shared" si="39"/>
        <v>0</v>
      </c>
      <c r="O153" s="302">
        <f t="shared" si="39"/>
        <v>22090.14</v>
      </c>
      <c r="P153" s="302">
        <f t="shared" si="39"/>
        <v>1264.8600000000006</v>
      </c>
      <c r="Q153" s="189">
        <f>E153/O153</f>
        <v>1.0572590304995804</v>
      </c>
      <c r="R153" s="302">
        <f t="shared" si="39"/>
        <v>4025.0899999999997</v>
      </c>
      <c r="S153" s="302">
        <f t="shared" si="39"/>
        <v>2945.81</v>
      </c>
      <c r="T153" s="189">
        <f>G153/R153</f>
        <v>1.731861896255736</v>
      </c>
      <c r="U153" s="302">
        <f t="shared" si="39"/>
        <v>1968</v>
      </c>
      <c r="V153" s="302">
        <f t="shared" si="39"/>
        <v>278.71000000000015</v>
      </c>
      <c r="W153" s="302">
        <f t="shared" si="39"/>
        <v>-1689.29</v>
      </c>
      <c r="X153" s="189">
        <f>V153/U153</f>
        <v>0.14162093495934966</v>
      </c>
      <c r="Y153" s="189">
        <f t="shared" si="38"/>
        <v>0.6746028657561556</v>
      </c>
    </row>
    <row r="154" spans="4:25" ht="15" hidden="1">
      <c r="D154" s="4"/>
      <c r="F154" s="78"/>
      <c r="G154" s="4"/>
      <c r="Y154" s="189"/>
    </row>
    <row r="155" spans="4:25" ht="15" hidden="1">
      <c r="D155" s="4"/>
      <c r="F155" s="78"/>
      <c r="G155" s="4"/>
      <c r="Y155" s="189"/>
    </row>
    <row r="156" spans="2:25" ht="15" hidden="1">
      <c r="B156" s="303" t="s">
        <v>159</v>
      </c>
      <c r="D156" s="4"/>
      <c r="F156" s="78"/>
      <c r="G156" s="4"/>
      <c r="Y156" s="189"/>
    </row>
    <row r="157" spans="2:25" ht="15" hidden="1">
      <c r="B157" s="312" t="s">
        <v>13</v>
      </c>
      <c r="C157" s="289" t="s">
        <v>19</v>
      </c>
      <c r="D157" s="301">
        <f>D72</f>
        <v>8170</v>
      </c>
      <c r="E157" s="301">
        <f>E72</f>
        <v>8170</v>
      </c>
      <c r="F157" s="301">
        <f>F72</f>
        <v>2608.65</v>
      </c>
      <c r="G157" s="301">
        <f>G72</f>
        <v>1624.99</v>
      </c>
      <c r="H157" s="301">
        <f>H72</f>
        <v>-983.6600000000001</v>
      </c>
      <c r="I157" s="300">
        <f>I72</f>
        <v>0.622923734498687</v>
      </c>
      <c r="J157" s="301">
        <f>J72</f>
        <v>-6545.01</v>
      </c>
      <c r="K157" s="300">
        <f>K72</f>
        <v>0.19889718482252142</v>
      </c>
      <c r="L157" s="301">
        <f>L72</f>
        <v>0</v>
      </c>
      <c r="M157" s="301">
        <f>M72</f>
        <v>0</v>
      </c>
      <c r="N157" s="301">
        <f>N72</f>
        <v>0</v>
      </c>
      <c r="O157" s="301">
        <f>O72</f>
        <v>8086.92</v>
      </c>
      <c r="P157" s="301">
        <f>P72</f>
        <v>83.07999999999993</v>
      </c>
      <c r="Q157" s="300">
        <f>Q72</f>
        <v>1.0102733797292418</v>
      </c>
      <c r="R157" s="301">
        <f>R72</f>
        <v>3075.73</v>
      </c>
      <c r="S157" s="301">
        <f>S72</f>
        <v>-1450.74</v>
      </c>
      <c r="T157" s="300">
        <f>T72</f>
        <v>0.5283266086425011</v>
      </c>
      <c r="U157" s="301">
        <f>U72</f>
        <v>680</v>
      </c>
      <c r="V157" s="301">
        <f>V72</f>
        <v>126.28999999999996</v>
      </c>
      <c r="W157" s="301">
        <f>W72</f>
        <v>-553.71</v>
      </c>
      <c r="X157" s="300">
        <f>X72</f>
        <v>0.18572058823529405</v>
      </c>
      <c r="Y157" s="189">
        <f t="shared" si="38"/>
        <v>-0.48194677108674067</v>
      </c>
    </row>
    <row r="158" spans="2:25" ht="46.5" hidden="1">
      <c r="B158" s="312" t="s">
        <v>38</v>
      </c>
      <c r="C158" s="289">
        <v>24061900</v>
      </c>
      <c r="D158" s="301">
        <f>D76</f>
        <v>174.4</v>
      </c>
      <c r="E158" s="301">
        <f>E76</f>
        <v>174.4</v>
      </c>
      <c r="F158" s="301">
        <f>F76</f>
        <v>20</v>
      </c>
      <c r="G158" s="301">
        <f>G76</f>
        <v>0</v>
      </c>
      <c r="H158" s="301">
        <f>H76</f>
        <v>-20</v>
      </c>
      <c r="I158" s="300">
        <f>I76</f>
        <v>0</v>
      </c>
      <c r="J158" s="301">
        <f>J76</f>
        <v>-174.4</v>
      </c>
      <c r="K158" s="300">
        <f>K76</f>
        <v>0</v>
      </c>
      <c r="L158" s="301">
        <f>L76</f>
        <v>0</v>
      </c>
      <c r="M158" s="301">
        <f>M76</f>
        <v>0</v>
      </c>
      <c r="N158" s="301">
        <f>N76</f>
        <v>0</v>
      </c>
      <c r="O158" s="301">
        <f>O76</f>
        <v>142.18</v>
      </c>
      <c r="P158" s="301">
        <f>P76</f>
        <v>32.22</v>
      </c>
      <c r="Q158" s="300">
        <f>Q76</f>
        <v>1.2266141510761006</v>
      </c>
      <c r="R158" s="301">
        <f>R76</f>
        <v>32.89</v>
      </c>
      <c r="S158" s="301">
        <f>S76</f>
        <v>-32.89</v>
      </c>
      <c r="T158" s="300">
        <f>T76</f>
        <v>0</v>
      </c>
      <c r="U158" s="301">
        <f>U76</f>
        <v>20</v>
      </c>
      <c r="V158" s="301">
        <f>V76</f>
        <v>0</v>
      </c>
      <c r="W158" s="301">
        <f>W76</f>
        <v>-20</v>
      </c>
      <c r="X158" s="300">
        <f>X76</f>
        <v>0</v>
      </c>
      <c r="Y158" s="189">
        <f t="shared" si="38"/>
        <v>-1.2266141510761006</v>
      </c>
    </row>
    <row r="159" spans="2:25" ht="15" hidden="1">
      <c r="B159" s="303" t="s">
        <v>159</v>
      </c>
      <c r="C159" s="313">
        <v>24060000</v>
      </c>
      <c r="D159" s="302">
        <f>SUM(D157:D158)</f>
        <v>8344.4</v>
      </c>
      <c r="E159" s="302">
        <f aca="true" t="shared" si="40" ref="E159:W159">SUM(E157:E158)</f>
        <v>8344.4</v>
      </c>
      <c r="F159" s="302">
        <f t="shared" si="40"/>
        <v>2628.65</v>
      </c>
      <c r="G159" s="302">
        <f t="shared" si="40"/>
        <v>1624.99</v>
      </c>
      <c r="H159" s="302">
        <f t="shared" si="40"/>
        <v>-1003.6600000000001</v>
      </c>
      <c r="I159" s="189">
        <f>G159/F159</f>
        <v>0.6181842390580716</v>
      </c>
      <c r="J159" s="302">
        <f t="shared" si="40"/>
        <v>-6719.41</v>
      </c>
      <c r="K159" s="189">
        <f>G159/E159</f>
        <v>0.19474018503427448</v>
      </c>
      <c r="L159" s="302">
        <f t="shared" si="40"/>
        <v>0</v>
      </c>
      <c r="M159" s="302">
        <f t="shared" si="40"/>
        <v>0</v>
      </c>
      <c r="N159" s="302">
        <f t="shared" si="40"/>
        <v>0</v>
      </c>
      <c r="O159" s="302">
        <f t="shared" si="40"/>
        <v>8229.1</v>
      </c>
      <c r="P159" s="302">
        <f t="shared" si="40"/>
        <v>115.29999999999993</v>
      </c>
      <c r="Q159" s="189">
        <f>E159/O159</f>
        <v>1.0140112527493892</v>
      </c>
      <c r="R159" s="302">
        <f t="shared" si="40"/>
        <v>3108.62</v>
      </c>
      <c r="S159" s="302">
        <f t="shared" si="40"/>
        <v>-1483.63</v>
      </c>
      <c r="T159" s="189">
        <f>G159/R159</f>
        <v>0.5227367770907991</v>
      </c>
      <c r="U159" s="302">
        <f t="shared" si="40"/>
        <v>700</v>
      </c>
      <c r="V159" s="302">
        <f t="shared" si="40"/>
        <v>126.28999999999996</v>
      </c>
      <c r="W159" s="302">
        <f t="shared" si="40"/>
        <v>-573.71</v>
      </c>
      <c r="X159" s="189">
        <f>V159/U159</f>
        <v>0.18041428571428567</v>
      </c>
      <c r="Y159" s="189">
        <f t="shared" si="38"/>
        <v>-0.49127447565859006</v>
      </c>
    </row>
    <row r="160" ht="15" hidden="1"/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6" sqref="B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62" t="s">
        <v>180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186"/>
    </row>
    <row r="2" spans="2:25" s="1" customFormat="1" ht="15.75" customHeight="1">
      <c r="B2" s="363"/>
      <c r="C2" s="363"/>
      <c r="D2" s="363"/>
      <c r="E2" s="363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4"/>
      <c r="B3" s="366"/>
      <c r="C3" s="367" t="s">
        <v>0</v>
      </c>
      <c r="D3" s="368" t="s">
        <v>131</v>
      </c>
      <c r="E3" s="368" t="s">
        <v>179</v>
      </c>
      <c r="F3" s="25"/>
      <c r="G3" s="369" t="s">
        <v>26</v>
      </c>
      <c r="H3" s="370"/>
      <c r="I3" s="370"/>
      <c r="J3" s="370"/>
      <c r="K3" s="37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72" t="s">
        <v>177</v>
      </c>
      <c r="V3" s="373" t="s">
        <v>178</v>
      </c>
      <c r="W3" s="373"/>
      <c r="X3" s="373"/>
      <c r="Y3" s="194"/>
    </row>
    <row r="4" spans="1:24" ht="22.5" customHeight="1">
      <c r="A4" s="364"/>
      <c r="B4" s="366"/>
      <c r="C4" s="367"/>
      <c r="D4" s="368"/>
      <c r="E4" s="368"/>
      <c r="F4" s="356" t="s">
        <v>173</v>
      </c>
      <c r="G4" s="358" t="s">
        <v>31</v>
      </c>
      <c r="H4" s="346" t="s">
        <v>174</v>
      </c>
      <c r="I4" s="360" t="s">
        <v>175</v>
      </c>
      <c r="J4" s="346" t="s">
        <v>132</v>
      </c>
      <c r="K4" s="36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0"/>
      <c r="V4" s="344" t="s">
        <v>181</v>
      </c>
      <c r="W4" s="346" t="s">
        <v>44</v>
      </c>
      <c r="X4" s="348" t="s">
        <v>43</v>
      </c>
    </row>
    <row r="5" spans="1:24" ht="67.5" customHeight="1">
      <c r="A5" s="365"/>
      <c r="B5" s="366"/>
      <c r="C5" s="367"/>
      <c r="D5" s="368"/>
      <c r="E5" s="368"/>
      <c r="F5" s="357"/>
      <c r="G5" s="359"/>
      <c r="H5" s="347"/>
      <c r="I5" s="361"/>
      <c r="J5" s="347"/>
      <c r="K5" s="361"/>
      <c r="L5" s="349" t="s">
        <v>135</v>
      </c>
      <c r="M5" s="350"/>
      <c r="N5" s="351"/>
      <c r="O5" s="352" t="s">
        <v>168</v>
      </c>
      <c r="P5" s="353"/>
      <c r="Q5" s="354"/>
      <c r="R5" s="355" t="s">
        <v>176</v>
      </c>
      <c r="S5" s="355"/>
      <c r="T5" s="355"/>
      <c r="U5" s="361"/>
      <c r="V5" s="345"/>
      <c r="W5" s="347"/>
      <c r="X5" s="34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38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38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38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38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38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38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38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38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38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38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39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38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38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40"/>
      <c r="H106" s="340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40"/>
      <c r="H107" s="340"/>
      <c r="I107" s="267"/>
      <c r="J107" s="269"/>
    </row>
    <row r="108" spans="3:10" ht="15">
      <c r="C108" s="265"/>
      <c r="D108" s="4"/>
      <c r="F108" s="270"/>
      <c r="G108" s="341"/>
      <c r="H108" s="341"/>
      <c r="I108" s="271"/>
      <c r="J108" s="268"/>
    </row>
    <row r="109" spans="2:10" ht="16.5">
      <c r="B109" s="342" t="s">
        <v>148</v>
      </c>
      <c r="C109" s="343"/>
      <c r="D109" s="272"/>
      <c r="E109" s="314">
        <f>'[1]залишки'!$G$6/1000</f>
        <v>77.8547</v>
      </c>
      <c r="F109" s="273" t="s">
        <v>149</v>
      </c>
      <c r="G109" s="340"/>
      <c r="H109" s="340"/>
      <c r="I109" s="274"/>
      <c r="J109" s="268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362" t="s">
        <v>171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186"/>
    </row>
    <row r="2" spans="2:25" s="1" customFormat="1" ht="15.75" customHeight="1">
      <c r="B2" s="363"/>
      <c r="C2" s="363"/>
      <c r="D2" s="363"/>
      <c r="E2" s="363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4"/>
      <c r="B3" s="366"/>
      <c r="C3" s="367" t="s">
        <v>0</v>
      </c>
      <c r="D3" s="368" t="s">
        <v>131</v>
      </c>
      <c r="E3" s="368" t="s">
        <v>131</v>
      </c>
      <c r="F3" s="25"/>
      <c r="G3" s="369" t="s">
        <v>26</v>
      </c>
      <c r="H3" s="370"/>
      <c r="I3" s="370"/>
      <c r="J3" s="370"/>
      <c r="K3" s="37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72" t="s">
        <v>141</v>
      </c>
      <c r="V3" s="373" t="s">
        <v>136</v>
      </c>
      <c r="W3" s="373"/>
      <c r="X3" s="373"/>
      <c r="Y3" s="194"/>
    </row>
    <row r="4" spans="1:24" ht="22.5" customHeight="1">
      <c r="A4" s="364"/>
      <c r="B4" s="366"/>
      <c r="C4" s="367"/>
      <c r="D4" s="368"/>
      <c r="E4" s="368"/>
      <c r="F4" s="356" t="s">
        <v>139</v>
      </c>
      <c r="G4" s="358" t="s">
        <v>31</v>
      </c>
      <c r="H4" s="346" t="s">
        <v>129</v>
      </c>
      <c r="I4" s="360" t="s">
        <v>130</v>
      </c>
      <c r="J4" s="346" t="s">
        <v>132</v>
      </c>
      <c r="K4" s="36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0"/>
      <c r="V4" s="344" t="s">
        <v>172</v>
      </c>
      <c r="W4" s="346" t="s">
        <v>44</v>
      </c>
      <c r="X4" s="348" t="s">
        <v>43</v>
      </c>
    </row>
    <row r="5" spans="1:24" ht="67.5" customHeight="1">
      <c r="A5" s="365"/>
      <c r="B5" s="366"/>
      <c r="C5" s="367"/>
      <c r="D5" s="368"/>
      <c r="E5" s="368"/>
      <c r="F5" s="357"/>
      <c r="G5" s="359"/>
      <c r="H5" s="347"/>
      <c r="I5" s="361"/>
      <c r="J5" s="347"/>
      <c r="K5" s="361"/>
      <c r="L5" s="349" t="s">
        <v>135</v>
      </c>
      <c r="M5" s="350"/>
      <c r="N5" s="351"/>
      <c r="O5" s="352" t="s">
        <v>168</v>
      </c>
      <c r="P5" s="353"/>
      <c r="Q5" s="354"/>
      <c r="R5" s="355" t="s">
        <v>167</v>
      </c>
      <c r="S5" s="355"/>
      <c r="T5" s="355"/>
      <c r="U5" s="361"/>
      <c r="V5" s="345"/>
      <c r="W5" s="347"/>
      <c r="X5" s="34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40"/>
      <c r="H106" s="340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40"/>
      <c r="H107" s="340"/>
      <c r="I107" s="267"/>
      <c r="J107" s="269"/>
    </row>
    <row r="108" spans="3:10" ht="15" hidden="1">
      <c r="C108" s="265"/>
      <c r="D108" s="4"/>
      <c r="F108" s="270"/>
      <c r="G108" s="341"/>
      <c r="H108" s="341"/>
      <c r="I108" s="271"/>
      <c r="J108" s="268"/>
    </row>
    <row r="109" spans="2:10" ht="16.5" hidden="1">
      <c r="B109" s="342" t="s">
        <v>148</v>
      </c>
      <c r="C109" s="343"/>
      <c r="D109" s="272"/>
      <c r="E109" s="314">
        <v>144.8304</v>
      </c>
      <c r="F109" s="273" t="s">
        <v>149</v>
      </c>
      <c r="G109" s="340"/>
      <c r="H109" s="340"/>
      <c r="I109" s="274"/>
      <c r="J109" s="268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6" sqref="B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62" t="s">
        <v>128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186"/>
    </row>
    <row r="2" spans="2:25" s="1" customFormat="1" ht="15.75" customHeight="1">
      <c r="B2" s="363"/>
      <c r="C2" s="363"/>
      <c r="D2" s="363"/>
      <c r="E2" s="363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4"/>
      <c r="B3" s="366"/>
      <c r="C3" s="367" t="s">
        <v>0</v>
      </c>
      <c r="D3" s="374" t="s">
        <v>131</v>
      </c>
      <c r="E3" s="368" t="s">
        <v>131</v>
      </c>
      <c r="F3" s="25"/>
      <c r="G3" s="369" t="s">
        <v>26</v>
      </c>
      <c r="H3" s="370"/>
      <c r="I3" s="370"/>
      <c r="J3" s="370"/>
      <c r="K3" s="37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72" t="s">
        <v>140</v>
      </c>
      <c r="V3" s="373" t="s">
        <v>124</v>
      </c>
      <c r="W3" s="373"/>
      <c r="X3" s="373"/>
      <c r="Y3" s="194"/>
    </row>
    <row r="4" spans="1:24" ht="22.5" customHeight="1">
      <c r="A4" s="364"/>
      <c r="B4" s="366"/>
      <c r="C4" s="367"/>
      <c r="D4" s="375"/>
      <c r="E4" s="368"/>
      <c r="F4" s="356" t="s">
        <v>138</v>
      </c>
      <c r="G4" s="358" t="s">
        <v>31</v>
      </c>
      <c r="H4" s="346" t="s">
        <v>122</v>
      </c>
      <c r="I4" s="360" t="s">
        <v>123</v>
      </c>
      <c r="J4" s="346" t="s">
        <v>132</v>
      </c>
      <c r="K4" s="36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0"/>
      <c r="V4" s="344" t="s">
        <v>137</v>
      </c>
      <c r="W4" s="346" t="s">
        <v>44</v>
      </c>
      <c r="X4" s="348" t="s">
        <v>43</v>
      </c>
    </row>
    <row r="5" spans="1:24" ht="67.5" customHeight="1">
      <c r="A5" s="365"/>
      <c r="B5" s="366"/>
      <c r="C5" s="367"/>
      <c r="D5" s="376"/>
      <c r="E5" s="368"/>
      <c r="F5" s="357"/>
      <c r="G5" s="359"/>
      <c r="H5" s="347"/>
      <c r="I5" s="361"/>
      <c r="J5" s="347"/>
      <c r="K5" s="361"/>
      <c r="L5" s="349" t="s">
        <v>109</v>
      </c>
      <c r="M5" s="350"/>
      <c r="N5" s="351"/>
      <c r="O5" s="377" t="s">
        <v>125</v>
      </c>
      <c r="P5" s="378"/>
      <c r="Q5" s="379"/>
      <c r="R5" s="355" t="s">
        <v>127</v>
      </c>
      <c r="S5" s="355"/>
      <c r="T5" s="355"/>
      <c r="U5" s="361"/>
      <c r="V5" s="345"/>
      <c r="W5" s="347"/>
      <c r="X5" s="34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40"/>
      <c r="H106" s="340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40"/>
      <c r="H107" s="340"/>
      <c r="I107" s="267"/>
      <c r="J107" s="269"/>
      <c r="Y107" s="199"/>
    </row>
    <row r="108" spans="3:25" ht="15">
      <c r="C108" s="265"/>
      <c r="D108" s="4"/>
      <c r="F108" s="270"/>
      <c r="G108" s="341"/>
      <c r="H108" s="341"/>
      <c r="I108" s="271"/>
      <c r="J108" s="268"/>
      <c r="Y108" s="199"/>
    </row>
    <row r="109" spans="2:25" ht="16.5">
      <c r="B109" s="342" t="s">
        <v>148</v>
      </c>
      <c r="C109" s="342"/>
      <c r="D109" s="272"/>
      <c r="E109" s="272">
        <f>3396166.95/1000</f>
        <v>3396.1669500000003</v>
      </c>
      <c r="F109" s="273" t="s">
        <v>149</v>
      </c>
      <c r="G109" s="340"/>
      <c r="H109" s="340"/>
      <c r="I109" s="274"/>
      <c r="J109" s="268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2018-04-04T09:15:31Z</cp:lastPrinted>
  <dcterms:created xsi:type="dcterms:W3CDTF">2003-07-28T11:27:56Z</dcterms:created>
  <dcterms:modified xsi:type="dcterms:W3CDTF">2018-04-04T09:29:23Z</dcterms:modified>
  <cp:category/>
  <cp:version/>
  <cp:contentType/>
  <cp:contentStatus/>
</cp:coreProperties>
</file>